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Feuil1" sheetId="1" r:id="rId1"/>
    <sheet name="Feuil2" sheetId="2" r:id="rId2"/>
    <sheet name="Feuil3" sheetId="3" r:id="rId3"/>
  </sheets>
  <definedNames>
    <definedName name="_xlnm.Print_Area" localSheetId="0">'Feuil1'!$A$3:$R$439</definedName>
    <definedName name="_xlnm.Print_Titles" localSheetId="0">'Feuil1'!$3:$8</definedName>
    <definedName name="ADDLUBCORSE">'Feuil1'!$R$406</definedName>
    <definedName name="ADDLUBMETRO">'Feuil1'!$Q$406</definedName>
    <definedName name="ADDLUBTGAPCORSE">'Feuil1'!$R$405</definedName>
    <definedName name="ADDLUBTGAPMETRO">'Feuil1'!$Q$405</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P">'Feuil1'!$G$11</definedName>
    <definedName name="R">'Feuil1'!$I$13</definedName>
    <definedName name="Super_sans_plomb_sans_IFP">'Feuil1'!$AU$2</definedName>
    <definedName name="t">'Feuil1'!$W$22</definedName>
    <definedName name="tabloavit">'Feuil1'!$AD$456:$AH$510</definedName>
    <definedName name="tablocpssp">'Feuil1'!$AD$521:$AI$559</definedName>
    <definedName name="tablocpsspetrenvois">'Feuil1'!$AD$521:$AJ$561</definedName>
    <definedName name="tablogeneral">'Feuil1'!$A$1:$R$440</definedName>
    <definedName name="tablogeneraletrenvois">'Feuil1'!$A$1:$Z$439</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'Feuil1'!$R$97</definedName>
    <definedName name="TVAARSMETRO">'Feuil1'!$Q$97</definedName>
    <definedName name="TVAAUTRLAMPAUTR">'Feuil1'!$Q$145</definedName>
    <definedName name="TVABUTAUTREcorse">'Feuil1'!$R$279</definedName>
    <definedName name="TVABUTAUTREmetro">'Feuil1'!$Q$279</definedName>
    <definedName name="TVABUTCARBcorse">'Feuil1'!$R$278</definedName>
    <definedName name="TVABUTCARBmetro">'Feuil1'!$Q$278</definedName>
    <definedName name="TVABUTSCEcorse">'Feuil1'!$R$277</definedName>
    <definedName name="TVABUTSCEmetro">'Feuil1'!$Q$277</definedName>
    <definedName name="TVACARBUAERONEFcorse">'Feuil1'!$AH$459</definedName>
    <definedName name="TVACARBUAERONEFmetro">'Feuil1'!$AG$459</definedName>
    <definedName name="TVAcondC">'Feuil1'!$R$61</definedName>
    <definedName name="TVAcondM">'Feuil1'!$Q$61</definedName>
    <definedName name="TVAFLBTSAUTRECORSE">'Feuil1'!$R$182</definedName>
    <definedName name="TVAFLBTSAUTREMETRO">'Feuil1'!$Q$182</definedName>
    <definedName name="TVAFLBTSCORSE">'Feuil1'!$R$181</definedName>
    <definedName name="TVAFLBTSMETRO">'Feuil1'!$Q$181</definedName>
    <definedName name="TVAFLHTSAUTRECORSE">"$Feuil1.$#REF !$#REF !"</definedName>
    <definedName name="TVAFLHTSAUTREMETRO">"$Feuil1.$#REF !$#REF !"</definedName>
    <definedName name="TVAFLHTSCORSE">'Feuil1'!$R$206</definedName>
    <definedName name="TVAFLHTSMETRO">'Feuil1'!$Q$206</definedName>
    <definedName name="TVAFODCORSE">'Feuil1'!$R$157</definedName>
    <definedName name="TVAFODMETRO">'Feuil1'!$Q$157</definedName>
    <definedName name="TVAGAZNATCARBCORSE">'Feuil1'!$R$291</definedName>
    <definedName name="TVAGAZNATCARBMETRO">'Feuil1'!$Q$291</definedName>
    <definedName name="TVAGAZOLAUTRECORSE">'Feuil1'!$R$159</definedName>
    <definedName name="TVAGAZOLAUTREMETRO">'Feuil1'!$Q$159</definedName>
    <definedName name="TVAGOAUTRCORSE">'Feuil1'!$R$169</definedName>
    <definedName name="TVAGOAUTRMETRO">'Feuil1'!$Q$169</definedName>
    <definedName name="TVAGOCORSE">'Feuil1'!$R$161</definedName>
    <definedName name="TVAGOMETRO">'Feuil1'!$Q$161</definedName>
    <definedName name="TVALAMPANTCOMBCORSE">'Feuil1'!$R$143</definedName>
    <definedName name="TVALAMPANTCOMBMETRO">'Feuil1'!$Q$143</definedName>
    <definedName name="TVALUBCORSE">'Feuil1'!$R$219</definedName>
    <definedName name="TVALUBMETRO">'Feuil1'!$Q$219</definedName>
    <definedName name="TVAPARAFAUTRECORSE">'Feuil1'!$R$301</definedName>
    <definedName name="TVAPARAFAUTREMETRO">'Feuil1'!$Q$301</definedName>
    <definedName name="TVAPLCORSE">'Feuil1'!$R$144</definedName>
    <definedName name="TVAPLMETRO">'Feuil1'!$Q$144</definedName>
    <definedName name="TVAPROAUTREcorse">'Feuil1'!$R$266</definedName>
    <definedName name="TVAPROAUTREmetro">'Feuil1'!$Q$266</definedName>
    <definedName name="TVAPROCARBcorse">'Feuil1'!$R$265</definedName>
    <definedName name="TVAPROCARBmetro">'Feuil1'!$Q$265</definedName>
    <definedName name="TVAPROSCEcorse">'Feuil1'!$R$264</definedName>
    <definedName name="TVAPROSCEmetro">'Feuil1'!$Q$264</definedName>
    <definedName name="TVASPCORSE">'Feuil1'!$R$99</definedName>
    <definedName name="TVASPMETRO">'Feuil1'!$Q$99</definedName>
    <definedName name="TVATGAPLUBCORSE">'Feuil1'!$R$218</definedName>
    <definedName name="TVATGAPLUBMETRO">'Feuil1'!$Q$218</definedName>
    <definedName name="TVAVASCIREAUTCORSE">'Feuil1'!$R$298</definedName>
    <definedName name="TVAVASCIREAUTMETRO">'Feuil1'!$Q$298</definedName>
    <definedName name="tvavascirparafbrutecorse">'Feuil1'!$R$306</definedName>
    <definedName name="tvavascirparafbrutmetro">'Feuil1'!$Q$306</definedName>
    <definedName name="TVAWSCOMBUCORSE">'Feuil1'!$R$81</definedName>
    <definedName name="TVAWSCOMBUMETRO">'Feuil1'!$Q$81</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'Feuil1'!$Q$13</definedName>
  </definedNames>
  <calcPr fullCalcOnLoad="1"/>
</workbook>
</file>

<file path=xl/sharedStrings.xml><?xml version="1.0" encoding="utf-8"?>
<sst xmlns="http://schemas.openxmlformats.org/spreadsheetml/2006/main" count="1826" uniqueCount="1826">
  <si>
    <t>TEC</t>
  </si>
  <si>
    <t>VALEURS FORFAITAIRES euros</t>
  </si>
  <si>
    <t>TIPP euros</t>
  </si>
  <si>
    <t>Taxe CPSSP euros</t>
  </si>
  <si>
    <t>LIB</t>
  </si>
  <si>
    <t>LIB</t>
  </si>
  <si>
    <t>TEChuilelégère</t>
  </si>
  <si>
    <t>Essences spéciales</t>
  </si>
  <si>
    <t>Super sans plomb</t>
  </si>
  <si>
    <t>Essence-auto</t>
  </si>
  <si>
    <t>L</t>
  </si>
  <si>
    <t>Codification</t>
  </si>
  <si>
    <t xml:space="preserve">  Droits de</t>
  </si>
  <si>
    <t>Contrôle du com-</t>
  </si>
  <si>
    <t xml:space="preserve">Valeur </t>
  </si>
  <si>
    <t>Unité</t>
  </si>
  <si>
    <t xml:space="preserve">        Droits de</t>
  </si>
  <si>
    <t xml:space="preserve">      FISCALITE</t>
  </si>
  <si>
    <t>TEChuilemoyenne</t>
  </si>
  <si>
    <t>Super additivé ARS</t>
  </si>
  <si>
    <t>Essence aviation</t>
  </si>
  <si>
    <t>TGAP euros</t>
  </si>
  <si>
    <t>E/Q</t>
  </si>
  <si>
    <t>I</t>
  </si>
  <si>
    <t>Supercarburant</t>
  </si>
  <si>
    <t>I</t>
  </si>
  <si>
    <t>Nomenclature</t>
  </si>
  <si>
    <t>U.S.</t>
  </si>
  <si>
    <t xml:space="preserve">       douane</t>
  </si>
  <si>
    <t xml:space="preserve">  merce exterieur</t>
  </si>
  <si>
    <t>imposable</t>
  </si>
  <si>
    <t xml:space="preserve">de </t>
  </si>
  <si>
    <t xml:space="preserve">       douane</t>
  </si>
  <si>
    <t>Taxe</t>
  </si>
  <si>
    <t>Rému-</t>
  </si>
  <si>
    <t xml:space="preserve">   T.V.A. (12)</t>
  </si>
  <si>
    <t>TAX</t>
  </si>
  <si>
    <t>TAX</t>
  </si>
  <si>
    <t>TAX</t>
  </si>
  <si>
    <t>TEChuilelourde</t>
  </si>
  <si>
    <t>Super sans plomb (95)</t>
  </si>
  <si>
    <t>Super ARS</t>
  </si>
  <si>
    <t>Super sans plomb</t>
  </si>
  <si>
    <t>G</t>
  </si>
  <si>
    <t>NDP</t>
  </si>
  <si>
    <t>T.E.C.</t>
  </si>
  <si>
    <t>Impor-</t>
  </si>
  <si>
    <t>Export-</t>
  </si>
  <si>
    <t xml:space="preserve">à la TVA </t>
  </si>
  <si>
    <t>percep-</t>
  </si>
  <si>
    <t>T.E.C.</t>
  </si>
  <si>
    <t>intérieure</t>
  </si>
  <si>
    <t>TGAP</t>
  </si>
  <si>
    <t>nération</t>
  </si>
  <si>
    <t>Conti-</t>
  </si>
  <si>
    <t>Corse</t>
  </si>
  <si>
    <t>TIPP</t>
  </si>
  <si>
    <t>CPSSP</t>
  </si>
  <si>
    <t>TVA</t>
  </si>
  <si>
    <t>TEC2707</t>
  </si>
  <si>
    <t>Carburéacteur</t>
  </si>
  <si>
    <t>N</t>
  </si>
  <si>
    <t>(2)</t>
  </si>
  <si>
    <t>tation</t>
  </si>
  <si>
    <t>tation</t>
  </si>
  <si>
    <t xml:space="preserve">hors droits </t>
  </si>
  <si>
    <t>tion</t>
  </si>
  <si>
    <t>T.I.P.P.</t>
  </si>
  <si>
    <t>CPSSP</t>
  </si>
  <si>
    <t>nent</t>
  </si>
  <si>
    <t>TEClubrifiant</t>
  </si>
  <si>
    <t>Essence aviation</t>
  </si>
  <si>
    <t>Essence aviation</t>
  </si>
  <si>
    <t>E</t>
  </si>
  <si>
    <t>et taxes</t>
  </si>
  <si>
    <t>TECpropanebutane</t>
  </si>
  <si>
    <t>Pétrole lampant</t>
  </si>
  <si>
    <t>FOD/lampant-White comb.</t>
  </si>
  <si>
    <t>Gazole</t>
  </si>
  <si>
    <t>TEC27121090</t>
  </si>
  <si>
    <t>Gazole</t>
  </si>
  <si>
    <t>gazole / lampant</t>
  </si>
  <si>
    <t>II</t>
  </si>
  <si>
    <t>FOD</t>
  </si>
  <si>
    <t xml:space="preserve">Attention des droits de douane </t>
  </si>
  <si>
    <t>TEC27122090</t>
  </si>
  <si>
    <t>Fioul HTS</t>
  </si>
  <si>
    <t>fioul BTS</t>
  </si>
  <si>
    <t>Petrole lampant</t>
  </si>
  <si>
    <t xml:space="preserve">Goudrons de houille, de lignite ou de tourbe et autres goudrons minéraux même déshydratés ou ététés, y compris les goudrons reconstitués : </t>
  </si>
  <si>
    <t xml:space="preserve"> </t>
  </si>
  <si>
    <t xml:space="preserve">en valeur forfaitaire </t>
  </si>
  <si>
    <t>TEC27129039</t>
  </si>
  <si>
    <t>Fioul BTS</t>
  </si>
  <si>
    <t>III</t>
  </si>
  <si>
    <t>Carburéacteur</t>
  </si>
  <si>
    <t>. . .</t>
  </si>
  <si>
    <t xml:space="preserve">sont masqués (colonnes K et L) </t>
  </si>
  <si>
    <t>TEC27129099</t>
  </si>
  <si>
    <t>Butane</t>
  </si>
  <si>
    <t>Goudron houille</t>
  </si>
  <si>
    <t>IV</t>
  </si>
  <si>
    <t>Fioul lourd</t>
  </si>
  <si>
    <t>27 06.00.00.00.0.1 A</t>
  </si>
  <si>
    <t xml:space="preserve"> - Goudrons de houille, de lignite ou de tourbe et autres goudrons minéraux destinés à être utilisés comme combustible (30) (26)…………………………………………………………………………</t>
  </si>
  <si>
    <t>Ex</t>
  </si>
  <si>
    <t>. . .</t>
  </si>
  <si>
    <t>100 Kg</t>
  </si>
  <si>
    <t>Ex</t>
  </si>
  <si>
    <t xml:space="preserve">mais servent pour le calcul </t>
  </si>
  <si>
    <t>TEC3403</t>
  </si>
  <si>
    <t>Propane</t>
  </si>
  <si>
    <t>GPLC</t>
  </si>
  <si>
    <t>tx 21janvier 04</t>
  </si>
  <si>
    <t>27 06.00.00.00.0.9 X</t>
  </si>
  <si>
    <t xml:space="preserve"> - Autres  (13)………………………………………………………………………………………………………….</t>
  </si>
  <si>
    <t>Ex</t>
  </si>
  <si>
    <t>. . .</t>
  </si>
  <si>
    <t>Ex</t>
  </si>
  <si>
    <t>Ex</t>
  </si>
  <si>
    <t>de la TVA</t>
  </si>
  <si>
    <t>TEC381121</t>
  </si>
  <si>
    <t>Huiles et lub.</t>
  </si>
  <si>
    <t>GCC</t>
  </si>
  <si>
    <t>TEC381190</t>
  </si>
  <si>
    <t>White spirit</t>
  </si>
  <si>
    <t>TICGN</t>
  </si>
  <si>
    <t>TEC3817</t>
  </si>
  <si>
    <t>Fraction légère</t>
  </si>
  <si>
    <t>TICBSCE</t>
  </si>
  <si>
    <t>TEC27111310</t>
  </si>
  <si>
    <t>Vaseline, cires, paraffines BRUTES</t>
  </si>
  <si>
    <t>TIGPSCE</t>
  </si>
  <si>
    <t xml:space="preserve"> Huiles et autres produits provenant de la distillation des goudrons de  houille de haute température ; produits analogues dans lesquels les constituants aromatiques prédominent en poids par rapport aux constituants non aromatiques</t>
  </si>
  <si>
    <t>TEC27111330</t>
  </si>
  <si>
    <t>Vaseline, cires  AUTRES</t>
  </si>
  <si>
    <t>EEGsce</t>
  </si>
  <si>
    <t>TEC271114</t>
  </si>
  <si>
    <t>Paraffines NON BRUTES</t>
  </si>
  <si>
    <t>EEGcarb</t>
  </si>
  <si>
    <t>TEC38249095</t>
  </si>
  <si>
    <t>Additifs</t>
  </si>
  <si>
    <t>TEC34031100</t>
  </si>
  <si>
    <t>4.6%</t>
  </si>
  <si>
    <t>FOD</t>
  </si>
  <si>
    <t xml:space="preserve"> - Benzol (benzène) :</t>
  </si>
  <si>
    <t>27 07.10.10.00.0.0 W</t>
  </si>
  <si>
    <t xml:space="preserve"> - - destinés à être utilisés comme carburant ou comme combustible (13)(32)(26)………………………..</t>
  </si>
  <si>
    <t>Hl</t>
  </si>
  <si>
    <t>TVO</t>
  </si>
  <si>
    <t>27 07.10.90.00.0.0 S</t>
  </si>
  <si>
    <t xml:space="preserve"> - - destinés à d'autres usages (32)……………………………………………………………………………….</t>
  </si>
  <si>
    <t>Ex</t>
  </si>
  <si>
    <t>Ex</t>
  </si>
  <si>
    <t>Ex</t>
  </si>
  <si>
    <t>TVO</t>
  </si>
  <si>
    <t xml:space="preserve"> - Toluol (toluène) :</t>
  </si>
  <si>
    <t>27 07.20.10.00.0.0 S</t>
  </si>
  <si>
    <t xml:space="preserve"> - - destinés à être utilisés comme carburant ou comme combustible (13) (32)(26)………………………..</t>
  </si>
  <si>
    <t>Hl</t>
  </si>
  <si>
    <t>27 07.20.90.00.0.0 Y</t>
  </si>
  <si>
    <t xml:space="preserve"> - - destinés à d'autres usages (32) ………………………………………………………………………………</t>
  </si>
  <si>
    <t>Ex</t>
  </si>
  <si>
    <t>Ex</t>
  </si>
  <si>
    <t>Ex</t>
  </si>
  <si>
    <t xml:space="preserve"> - Xylol (xylènes) :</t>
  </si>
  <si>
    <t>27 07.30.10.00.0.0 Y</t>
  </si>
  <si>
    <t xml:space="preserve"> - - destinés à être utilisés comme carburant ou comme combustible (13) (32)(26)………………………..</t>
  </si>
  <si>
    <t>Hl</t>
  </si>
  <si>
    <t>27 07.30.90.00.0.0 J</t>
  </si>
  <si>
    <t xml:space="preserve"> - - destinés à d'autres usages (32)………………………………………………………………………………</t>
  </si>
  <si>
    <t>Ex</t>
  </si>
  <si>
    <t>Ex</t>
  </si>
  <si>
    <t>Ex</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</si>
  <si>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</si>
  <si>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</si>
  <si>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</si>
  <si>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 xml:space="preserve"> - - - présentant les caractéristiques d'une huile légère  (13)(30)(32)(26)………………………………………….</t>
  </si>
  <si>
    <t>Hl</t>
  </si>
  <si>
    <t>27 07.50.10.00.0.9 J</t>
  </si>
  <si>
    <t xml:space="preserve"> - - - présentant les caractéristiques d'une huile moyenne (13)(30)(32)(26)………………………………………..</t>
  </si>
  <si>
    <t>Hl</t>
  </si>
  <si>
    <t>27 07.50.90.00.0.0 E</t>
  </si>
  <si>
    <t xml:space="preserve"> - - destinés à d'autres usages (32) ………………………………………………………………………………</t>
  </si>
  <si>
    <t>Ex</t>
  </si>
  <si>
    <t>Ex</t>
  </si>
  <si>
    <t>Ex</t>
  </si>
  <si>
    <r>
      <rPr>
        <b/>
        <i/>
        <sz val="7"/>
        <rFont val="Antique Olive (W1)"/>
        <family val="0"/>
      </rPr>
      <t xml:space="preserve"> -  </t>
    </r>
    <r>
      <rPr>
        <i/>
        <sz val="7"/>
        <rFont val="Antique Olive (W1)"/>
        <family val="0"/>
      </rPr>
      <t>Autres</t>
    </r>
  </si>
  <si>
    <t xml:space="preserve"> - - Huiles de créosote</t>
  </si>
  <si>
    <t>27 07.91.00.00.0.1 F</t>
  </si>
  <si>
    <t xml:space="preserve"> - - - destinées à être utilisées comme combustible(26) …………………………………………………</t>
  </si>
  <si>
    <t>Hl</t>
  </si>
  <si>
    <t>. . .</t>
  </si>
  <si>
    <t>. . .</t>
  </si>
  <si>
    <t>27 07.91.00.00.0.9 B</t>
  </si>
  <si>
    <t xml:space="preserve"> - - - autres (13)……………………………………………………………………………………………………….</t>
  </si>
  <si>
    <t>. . .</t>
  </si>
  <si>
    <t>Ex</t>
  </si>
  <si>
    <t>. . .</t>
  </si>
  <si>
    <t>. . .</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</si>
  <si>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</si>
  <si>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</si>
  <si>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</si>
  <si>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</si>
  <si>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</si>
  <si>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</si>
  <si>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 xml:space="preserve">                * destinées à être utilisées comme combustible (26)……………………………………….</t>
  </si>
  <si>
    <t>. . .</t>
  </si>
  <si>
    <t>Hl</t>
  </si>
  <si>
    <t>. . .</t>
  </si>
  <si>
    <t>. . .</t>
  </si>
  <si>
    <t>27 07.99.11.10.0.9 X</t>
  </si>
  <si>
    <t xml:space="preserve">                * autres (13)……………………………………………………………………………………………...</t>
  </si>
  <si>
    <t>. . .</t>
  </si>
  <si>
    <t>Ex</t>
  </si>
  <si>
    <t>. . .</t>
  </si>
  <si>
    <t>. . .</t>
  </si>
  <si>
    <t xml:space="preserve"> - - - - - Autres  </t>
  </si>
  <si>
    <t>27 07.99.11.90.0.1 F</t>
  </si>
  <si>
    <t xml:space="preserve">                * destinées à être utilisées comme combustible(26) ………………………………………</t>
  </si>
  <si>
    <t>. . .</t>
  </si>
  <si>
    <t>Hl</t>
  </si>
  <si>
    <t>. . .</t>
  </si>
  <si>
    <t>. . .</t>
  </si>
  <si>
    <t>27 07.99.11.90.0.9 B</t>
  </si>
  <si>
    <t xml:space="preserve">                * autres  (13) ……………………………………………………………………………………………...</t>
  </si>
  <si>
    <t>. . .</t>
  </si>
  <si>
    <t>Ex</t>
  </si>
  <si>
    <t>. . .</t>
  </si>
  <si>
    <t>. . .</t>
  </si>
  <si>
    <t xml:space="preserve"> - - - - Autres</t>
  </si>
  <si>
    <t>27 07.99.19.00.0.1 T</t>
  </si>
  <si>
    <t xml:space="preserve"> - - - - - destinées à être utilisées comme combustible (26)……………………………………………..</t>
  </si>
  <si>
    <t>. . .</t>
  </si>
  <si>
    <t>Ex</t>
  </si>
  <si>
    <t>Hl</t>
  </si>
  <si>
    <t>Ex</t>
  </si>
  <si>
    <t>. . .</t>
  </si>
  <si>
    <t>. . .</t>
  </si>
  <si>
    <t>27 07.99.19.00.0.9 L</t>
  </si>
  <si>
    <t xml:space="preserve"> - - - - - autres (13)…………………………………………………………………………………………………….</t>
  </si>
  <si>
    <t>. . .</t>
  </si>
  <si>
    <t>Ex</t>
  </si>
  <si>
    <t>Ex</t>
  </si>
  <si>
    <t>Ex</t>
  </si>
  <si>
    <t>. . .</t>
  </si>
  <si>
    <t>. . .</t>
  </si>
  <si>
    <t xml:space="preserve">    </t>
  </si>
  <si>
    <t xml:space="preserve"> Huiles brutes de pétrole ou de minéraux bitumineux :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</si>
  <si>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</si>
  <si>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</si>
  <si>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</si>
  <si>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</si>
  <si>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</si>
  <si>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</si>
  <si>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</si>
  <si>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</si>
  <si>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</si>
  <si>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</si>
  <si>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 Condensats de gaz naturel</t>
  </si>
  <si>
    <t>27 09.00.10.00.0.1 S</t>
  </si>
  <si>
    <t xml:space="preserve"> - - présentant les caractéristiques d'une huile légère (13) (26)(29)(30)………………………………………..</t>
  </si>
  <si>
    <t>Ex</t>
  </si>
  <si>
    <t>C (18)</t>
  </si>
  <si>
    <t>O2 (21)</t>
  </si>
  <si>
    <t>Hl</t>
  </si>
  <si>
    <t>Ex</t>
  </si>
  <si>
    <t>27 09.00.10.00.0.2 L</t>
  </si>
  <si>
    <t xml:space="preserve"> - - présentant les caractéristiques d'une huile moyenne (13)(26) (29)(30)……………………………………</t>
  </si>
  <si>
    <t>Ex</t>
  </si>
  <si>
    <t>C (18)</t>
  </si>
  <si>
    <t>O2 (21)</t>
  </si>
  <si>
    <t>Hl</t>
  </si>
  <si>
    <t>Ex</t>
  </si>
  <si>
    <t>27 09.00.10.00.0.9 H</t>
  </si>
  <si>
    <t xml:space="preserve"> - - présentant les caractéristiques d'une huile lourde (13)(26) (29)(30)………………………………………….</t>
  </si>
  <si>
    <t>Ex</t>
  </si>
  <si>
    <t>C (18)</t>
  </si>
  <si>
    <t>O2 (21)</t>
  </si>
  <si>
    <t>100 Kg</t>
  </si>
  <si>
    <t>Ex</t>
  </si>
  <si>
    <t xml:space="preserve"> - autres</t>
  </si>
  <si>
    <t>27 09.00.90.00.0.1 Y</t>
  </si>
  <si>
    <t xml:space="preserve"> - - présentant les caractéristiques d'une huile légère (13)(26) (29)(30)……………………………………………..</t>
  </si>
  <si>
    <t>Ex</t>
  </si>
  <si>
    <t>C (18)</t>
  </si>
  <si>
    <t>O2 (21)</t>
  </si>
  <si>
    <t>Hl</t>
  </si>
  <si>
    <t>Ex</t>
  </si>
  <si>
    <t>27 09.00.90.00.0.2 M</t>
  </si>
  <si>
    <t xml:space="preserve"> - - présentant les caractéristiques d'une huile moyenne (13) (26)(29)(30)………………………………..………..</t>
  </si>
  <si>
    <t>Ex</t>
  </si>
  <si>
    <t>C (18)</t>
  </si>
  <si>
    <t>O2 (21)</t>
  </si>
  <si>
    <t>Hl</t>
  </si>
  <si>
    <t>Ex</t>
  </si>
  <si>
    <t>27 09.00.90.00.0.9 P</t>
  </si>
  <si>
    <t xml:space="preserve"> - - présentant les caractéristiques d'une huile lourde (13) (26)(29)(30)……………………………………………..</t>
  </si>
  <si>
    <t>Ex</t>
  </si>
  <si>
    <t>C (18)</t>
  </si>
  <si>
    <t>O2 (21)</t>
  </si>
  <si>
    <t>100 Kg</t>
  </si>
  <si>
    <t>Ex</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</si>
  <si>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</si>
  <si>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</si>
  <si>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 xml:space="preserve">    </t>
  </si>
  <si>
    <t xml:space="preserve"> - - Huiles légères et préparations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</si>
  <si>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</si>
  <si>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</si>
  <si>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</si>
  <si>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</si>
  <si>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</si>
  <si>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</si>
  <si>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</si>
  <si>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</si>
  <si>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</si>
  <si>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</si>
  <si>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27 10.11.11.00.0.0 T</t>
  </si>
  <si>
    <t xml:space="preserve"> - - - destinées à subir un traitement défini (3)(30) (32)…………………………………………………………</t>
  </si>
  <si>
    <t>Litre</t>
  </si>
  <si>
    <t>Ex</t>
  </si>
  <si>
    <t>C (18)</t>
  </si>
  <si>
    <t xml:space="preserve"> . . .</t>
  </si>
  <si>
    <t>Hl</t>
  </si>
  <si>
    <t>Ex</t>
  </si>
  <si>
    <t>27 10.11.15.00.0.0 K</t>
  </si>
  <si>
    <t xml:space="preserve"> - - - destinées à subir une transformation chimique par un traitement autre</t>
  </si>
  <si>
    <t xml:space="preserve"> </t>
  </si>
  <si>
    <t xml:space="preserve">     que ceux définis pour la sous position 27 10 11 11 (3) (30) (32)…………………………………………</t>
  </si>
  <si>
    <t>Litre</t>
  </si>
  <si>
    <t>Ex</t>
  </si>
  <si>
    <t>C (18)</t>
  </si>
  <si>
    <t xml:space="preserve"> . . .</t>
  </si>
  <si>
    <t>Hl</t>
  </si>
  <si>
    <t>Ex</t>
  </si>
  <si>
    <t xml:space="preserve"> - - - destinées à d'autres usages :</t>
  </si>
  <si>
    <t xml:space="preserve"> - - - -  Essences spéciales :</t>
  </si>
  <si>
    <t xml:space="preserve"> - - - - -  White-spirit destiné à être utilisé comme combustible </t>
  </si>
  <si>
    <t>27 10.11.21.00.0.1 D</t>
  </si>
  <si>
    <t xml:space="preserve">          * Combustible liquide pour appareil mobile de chauffage (17) (22)(30) (31)…………………….</t>
  </si>
  <si>
    <t>Litre</t>
  </si>
  <si>
    <t>C (18)</t>
  </si>
  <si>
    <t xml:space="preserve"> O2 (21)</t>
  </si>
  <si>
    <t>Hl</t>
  </si>
  <si>
    <t>27 10.11.21.00.0.2 Y</t>
  </si>
  <si>
    <t xml:space="preserve">          * Autre (17)(26)(30) (31)……………………………………………………………………………………………….</t>
  </si>
  <si>
    <t>Litre</t>
  </si>
  <si>
    <t>C (18)</t>
  </si>
  <si>
    <t xml:space="preserve"> O2 (21)</t>
  </si>
  <si>
    <t>Hl</t>
  </si>
  <si>
    <t>27 10.11.21.00.0.9 A</t>
  </si>
  <si>
    <t xml:space="preserve"> - - - - -  White-spirit, autre (13) (15)(30)(31)………………………………………………………………………………..</t>
  </si>
  <si>
    <t>Litre</t>
  </si>
  <si>
    <t>C (18)</t>
  </si>
  <si>
    <t xml:space="preserve"> O2 (21)</t>
  </si>
  <si>
    <t>Hl</t>
  </si>
  <si>
    <t>Ex</t>
  </si>
  <si>
    <t xml:space="preserve"> - - - - -  Autres :</t>
  </si>
  <si>
    <t>27 10.11.25.00.0.1 T</t>
  </si>
  <si>
    <t xml:space="preserve">          * destinées à être utilisées comme  carburant ou combustible (11)(26)(30)(31)……………………..</t>
  </si>
  <si>
    <t>Litre</t>
  </si>
  <si>
    <t xml:space="preserve"> C (18)</t>
  </si>
  <si>
    <t xml:space="preserve"> O2 (21)</t>
  </si>
  <si>
    <t>Hl</t>
  </si>
  <si>
    <t>27 10.11.25.00.0.9 L</t>
  </si>
  <si>
    <t xml:space="preserve">          * destinées à d'autres usages (15 ) (30) (31)…………………………………………………………………</t>
  </si>
  <si>
    <t>Litre</t>
  </si>
  <si>
    <t xml:space="preserve"> C (18)</t>
  </si>
  <si>
    <t xml:space="preserve"> O2 (21)</t>
  </si>
  <si>
    <t>Hl</t>
  </si>
  <si>
    <t>Ex</t>
  </si>
  <si>
    <t xml:space="preserve">  - - - -  Autres :</t>
  </si>
  <si>
    <t xml:space="preserve"> - - - - -  Essences pour moteur :</t>
  </si>
  <si>
    <t>27 10.11.31.00.0.0H</t>
  </si>
  <si>
    <t xml:space="preserve">          * Essences d'aviation  (11)(26) (30) (32)……………………………………………………………………………</t>
  </si>
  <si>
    <t>Litre</t>
  </si>
  <si>
    <t xml:space="preserve"> . . .</t>
  </si>
  <si>
    <t xml:space="preserve"> O2 (21)</t>
  </si>
  <si>
    <t>Hl</t>
  </si>
  <si>
    <t xml:space="preserve">          * Autres, d'une teneur en plomb :</t>
  </si>
  <si>
    <t xml:space="preserve">               * *  n'excédant pas 0,013 g par l :</t>
  </si>
  <si>
    <t xml:space="preserve">                    * * * avec un indice d'octane (IOR) &lt; 95</t>
  </si>
  <si>
    <t>27 10.11.41.00.0.1 J</t>
  </si>
  <si>
    <t xml:space="preserve">                         * * * * d'une teneur en plomb n'excédant pas 0,005 g par l (26)(30) (32)…………</t>
  </si>
  <si>
    <t>1000 L</t>
  </si>
  <si>
    <t xml:space="preserve"> C (18)</t>
  </si>
  <si>
    <t xml:space="preserve"> O2 (21)</t>
  </si>
  <si>
    <t>Hl</t>
  </si>
  <si>
    <t>(a)</t>
  </si>
  <si>
    <t>27 10.11.41.00.0.9 D</t>
  </si>
  <si>
    <t xml:space="preserve">                         * * * * autres (6)(26)(30) (32)…………………………………………………………………..</t>
  </si>
  <si>
    <t>1000 L</t>
  </si>
  <si>
    <t xml:space="preserve"> C (18)</t>
  </si>
  <si>
    <t xml:space="preserve"> O2 (21)</t>
  </si>
  <si>
    <t>Hl</t>
  </si>
  <si>
    <t xml:space="preserve"> (a) En Corse, les taux de TIPP sont réduits pour les supercarburants sans plomb   à :</t>
  </si>
  <si>
    <t xml:space="preserve">E/HL  et pour les supercarburants contenant un additif ARS à  </t>
  </si>
  <si>
    <t xml:space="preserve">F/HL pour les supercarburants contenant un additif ARS </t>
  </si>
  <si>
    <t>E/Hl</t>
  </si>
  <si>
    <t xml:space="preserve">                    * * * avec un indice d'octane (IOR) de 95 ou plus mais &lt; 98</t>
  </si>
  <si>
    <t>27 10.11.45.00.0.1 H</t>
  </si>
  <si>
    <t xml:space="preserve">                         * * * * d'un indice d'octane supérieur ou égal à 97,contenant un additif spécifique à base de potassium améliorant les caractéristiques anti-récession de soupape (ARS) et d'une teneur en plomb n'excédant pas 0,005 g par litre (26)(30)(32)</t>
  </si>
  <si>
    <t>1000 L</t>
  </si>
  <si>
    <t xml:space="preserve"> C (18)</t>
  </si>
  <si>
    <t xml:space="preserve"> O2 (21)</t>
  </si>
  <si>
    <t>Hl</t>
  </si>
  <si>
    <t>(a)</t>
  </si>
  <si>
    <t>27 10.11.45.00.0.3 E</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</si>
  <si>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</si>
  <si>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1000 L</t>
  </si>
  <si>
    <t xml:space="preserve"> C (18)</t>
  </si>
  <si>
    <t xml:space="preserve"> O2 (21)</t>
  </si>
  <si>
    <t>Hl</t>
  </si>
  <si>
    <t>(a)</t>
  </si>
  <si>
    <t>27 10.11.45.00.0.5 V</t>
  </si>
  <si>
    <t xml:space="preserve">                         * * * * autre, d'une teneur en plomb n'excédant pas 0,005,g par l (26)(30)(32)</t>
  </si>
  <si>
    <t>1000 L</t>
  </si>
  <si>
    <t xml:space="preserve"> C (18)</t>
  </si>
  <si>
    <t xml:space="preserve"> O2 (21)</t>
  </si>
  <si>
    <t>Hl</t>
  </si>
  <si>
    <t>(a)</t>
  </si>
  <si>
    <t>27 10.11.45.00.0.9 T</t>
  </si>
  <si>
    <t xml:space="preserve">                         * * * * autre, autre (6)(26)(30)(32)</t>
  </si>
  <si>
    <t>1000 L</t>
  </si>
  <si>
    <t xml:space="preserve"> C (18)</t>
  </si>
  <si>
    <t xml:space="preserve"> O2 (21)</t>
  </si>
  <si>
    <t>Hl</t>
  </si>
  <si>
    <t xml:space="preserve">                    * * * avec un indice d'octane (IOR) de 98 ou plus </t>
  </si>
  <si>
    <t>27 10.11.49.00.0.1 N</t>
  </si>
  <si>
    <t xml:space="preserve">                         * * * * contenant un additif à base de potassium améliorant les caractéristiques anti-récession de soupape (ARS) et d'une teneur en plomb n'excédant pas 0,005 g par litre (26)(30)(32)</t>
  </si>
  <si>
    <t>1000 L</t>
  </si>
  <si>
    <t xml:space="preserve"> C (18)</t>
  </si>
  <si>
    <t xml:space="preserve"> O2 (21)</t>
  </si>
  <si>
    <t>Hl</t>
  </si>
  <si>
    <t>(a)</t>
  </si>
  <si>
    <t>27 10.11.49.00.0.3 D</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</si>
  <si>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</si>
  <si>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1000 L</t>
  </si>
  <si>
    <t xml:space="preserve"> C (18)</t>
  </si>
  <si>
    <t xml:space="preserve"> O2 (21)</t>
  </si>
  <si>
    <t>Hl</t>
  </si>
  <si>
    <t>(a)</t>
  </si>
  <si>
    <t>27 10.11.49.00.0.5 M</t>
  </si>
  <si>
    <t xml:space="preserve">                         * * * * autre, d'une teneur en plomb n'excédant pas 0,005,g par l (26)(30)(32)</t>
  </si>
  <si>
    <t>1000 L</t>
  </si>
  <si>
    <t xml:space="preserve"> C (18)</t>
  </si>
  <si>
    <t xml:space="preserve"> O2 (21)</t>
  </si>
  <si>
    <t>Hl</t>
  </si>
  <si>
    <t>(a)</t>
  </si>
  <si>
    <t>27 10.11.49.00.0.9 K</t>
  </si>
  <si>
    <t xml:space="preserve">                         * * * * autre, autre (6)(26)(30)(32)</t>
  </si>
  <si>
    <t>1000 L</t>
  </si>
  <si>
    <t xml:space="preserve"> C (18)</t>
  </si>
  <si>
    <t xml:space="preserve"> O2 (21)</t>
  </si>
  <si>
    <t>Hl</t>
  </si>
  <si>
    <t xml:space="preserve">               * *  excedant 0,013 g par l :</t>
  </si>
  <si>
    <t>27 10.11.51.00.0.0 S</t>
  </si>
  <si>
    <t xml:space="preserve">                    * * *  avec un indice d'octane (IOR) &lt; 98 (6)(26)(30)(32)…………………………………………….</t>
  </si>
  <si>
    <t>1000 L</t>
  </si>
  <si>
    <t xml:space="preserve"> C (18)</t>
  </si>
  <si>
    <t xml:space="preserve"> O2 (21)</t>
  </si>
  <si>
    <t>Hl</t>
  </si>
  <si>
    <t>27 10.11.59.00.0.0 X</t>
  </si>
  <si>
    <t xml:space="preserve">                    * * *  avec un indice d'octane (IOR) de 98 ou plus (6)(26)(30)(32)...............................................................…</t>
  </si>
  <si>
    <t>1000 L</t>
  </si>
  <si>
    <t xml:space="preserve"> C (18)</t>
  </si>
  <si>
    <t xml:space="preserve"> O2 (21)</t>
  </si>
  <si>
    <t>Hl</t>
  </si>
  <si>
    <t xml:space="preserve"> - - - - - Carburéacteurs, type essence  :</t>
  </si>
  <si>
    <t>27 10.11.70.00.0.1 A</t>
  </si>
  <si>
    <t xml:space="preserve">          * Destinés à être utilisés à bord des aéronefs ainsi que pour la construction, la</t>
  </si>
  <si>
    <t xml:space="preserve"> </t>
  </si>
  <si>
    <t xml:space="preserve">              mise au point , les essais ou l'entretien des moteurs d'aviation</t>
  </si>
  <si>
    <t xml:space="preserve">              à réaction ou à turbine (7) (11)(30)(32)...............................................................................................</t>
  </si>
  <si>
    <t>Litre</t>
  </si>
  <si>
    <t xml:space="preserve"> C (18)</t>
  </si>
  <si>
    <t xml:space="preserve"> O2 (21)</t>
  </si>
  <si>
    <t>Hl</t>
  </si>
  <si>
    <t>Ex</t>
  </si>
  <si>
    <t>27 10.11.70.00.0.2 P</t>
  </si>
  <si>
    <t xml:space="preserve">          * Sous conditions d'emploi (8)(30)(32)...........................................................................................................</t>
  </si>
  <si>
    <t>Litre</t>
  </si>
  <si>
    <t xml:space="preserve"> C (18)</t>
  </si>
  <si>
    <t xml:space="preserve"> O2 (21)</t>
  </si>
  <si>
    <t>Hl</t>
  </si>
  <si>
    <t>27 10.11.70.00.0.3 S</t>
  </si>
  <si>
    <t xml:space="preserve">          * destinés à un usage autre que carburant ou combustible (15)(30)(32)……………………</t>
  </si>
  <si>
    <t>Litre</t>
  </si>
  <si>
    <t xml:space="preserve"> C (18)</t>
  </si>
  <si>
    <t xml:space="preserve"> O2 (21)</t>
  </si>
  <si>
    <t>Hl</t>
  </si>
  <si>
    <t>Ex</t>
  </si>
  <si>
    <t>27 10.11.70.00.0.9 X</t>
  </si>
  <si>
    <t xml:space="preserve">          * Autres  (11)(26)(30)(32).............................................................................................................................................</t>
  </si>
  <si>
    <t>Litre</t>
  </si>
  <si>
    <t xml:space="preserve"> C (18)</t>
  </si>
  <si>
    <t xml:space="preserve"> O2 (21)</t>
  </si>
  <si>
    <t>Hl</t>
  </si>
  <si>
    <t xml:space="preserve"> (a) En Corse, les taux de TIPP sont réduits pour les supercarburants sans plomb   à :</t>
  </si>
  <si>
    <t xml:space="preserve">E/HL  et pour les supercarburants contenant un additif ARS à :   </t>
  </si>
  <si>
    <t xml:space="preserve">F/HL pour les supercarburants contenant un additif ARS </t>
  </si>
  <si>
    <t>E/Hl</t>
  </si>
  <si>
    <t xml:space="preserve"> </t>
  </si>
  <si>
    <t>F/HL  pour les essences,</t>
  </si>
  <si>
    <t xml:space="preserve"> - - - - - Autres huiles légères :</t>
  </si>
  <si>
    <t>27 10.11.90.00.0.1 D</t>
  </si>
  <si>
    <t xml:space="preserve">          * destinées à être utilisées comme carburant ou combustible  (13)(26)(30)(32).............................</t>
  </si>
  <si>
    <t>Litre</t>
  </si>
  <si>
    <t xml:space="preserve"> C (18)</t>
  </si>
  <si>
    <t xml:space="preserve"> O2 (21)</t>
  </si>
  <si>
    <t>Hl</t>
  </si>
  <si>
    <t>27 10.11.90.00.0.9 A</t>
  </si>
  <si>
    <t xml:space="preserve">          *  Autres (15)(30)(32)...........................................................................................................................................</t>
  </si>
  <si>
    <t>Litre</t>
  </si>
  <si>
    <t xml:space="preserve"> C (18)</t>
  </si>
  <si>
    <t xml:space="preserve"> O2 (21)</t>
  </si>
  <si>
    <t>Hl</t>
  </si>
  <si>
    <t>Ex</t>
  </si>
  <si>
    <t>- - Autres</t>
  </si>
  <si>
    <t>27 10.19.11.00.0.0 Q</t>
  </si>
  <si>
    <t>Litre</t>
  </si>
  <si>
    <t>Ex</t>
  </si>
  <si>
    <t xml:space="preserve"> C (18)</t>
  </si>
  <si>
    <t xml:space="preserve"> . . .</t>
  </si>
  <si>
    <t>Hl</t>
  </si>
  <si>
    <t>Ex</t>
  </si>
  <si>
    <t>27 10.19.15.00.0.0 A</t>
  </si>
  <si>
    <t xml:space="preserve">      que ceux définis pour la sous-position 27 10 19 11 (3)(30) (32).....................................................................................…</t>
  </si>
  <si>
    <t>Litre</t>
  </si>
  <si>
    <t>Ex</t>
  </si>
  <si>
    <t xml:space="preserve"> C (18)</t>
  </si>
  <si>
    <t xml:space="preserve"> . . .</t>
  </si>
  <si>
    <t>Hl</t>
  </si>
  <si>
    <t>Ex</t>
  </si>
  <si>
    <t xml:space="preserve"> - - - - destinées à d'autres usages :</t>
  </si>
  <si>
    <t xml:space="preserve"> - - - - -  Pétrole lampant :</t>
  </si>
  <si>
    <t xml:space="preserve">          * Carburéacteurs , type pétrole lampant :</t>
  </si>
  <si>
    <t>27 10.19.21.00.0.1 M</t>
  </si>
  <si>
    <t xml:space="preserve">               * * Destinés à être utilisés à bord des aéronefs ainsi que pour la construction, la</t>
  </si>
  <si>
    <t xml:space="preserve">           mise au point , les essais ou l'entretien des moteurs d'aviation à réaction</t>
  </si>
  <si>
    <t xml:space="preserve">            ou à turbine (7) (11) (30)(32).............................................................................................</t>
  </si>
  <si>
    <t>Litre</t>
  </si>
  <si>
    <t xml:space="preserve"> C (18)</t>
  </si>
  <si>
    <t xml:space="preserve"> O2 (21)</t>
  </si>
  <si>
    <t>Hl</t>
  </si>
  <si>
    <t>Ex</t>
  </si>
  <si>
    <t>27 10.19.21.00.0.2 T</t>
  </si>
  <si>
    <t xml:space="preserve">               * * Sous conditions d'emploi  (8)(30)(32)......................................................................................................</t>
  </si>
  <si>
    <t>Litre</t>
  </si>
  <si>
    <t xml:space="preserve"> C (18)</t>
  </si>
  <si>
    <t xml:space="preserve"> O2 (21)</t>
  </si>
  <si>
    <t>Hl</t>
  </si>
  <si>
    <t>27 10.19.21.00.0.3 F</t>
  </si>
  <si>
    <t xml:space="preserve">               * * destinés à un usage autre que carburant ou combustible (15)(30)(32)…………………………………………………………</t>
  </si>
  <si>
    <t>Litre</t>
  </si>
  <si>
    <t xml:space="preserve"> C (18)</t>
  </si>
  <si>
    <t xml:space="preserve"> O2 (21)</t>
  </si>
  <si>
    <t>Hl</t>
  </si>
  <si>
    <t>Ex</t>
  </si>
  <si>
    <t>27 10.19.21.00.0.9 S</t>
  </si>
  <si>
    <t xml:space="preserve">               * * Autres  (11)(26)(30)(32).........................................................................................................................................…</t>
  </si>
  <si>
    <t>Litre</t>
  </si>
  <si>
    <t xml:space="preserve"> C (18)</t>
  </si>
  <si>
    <t xml:space="preserve"> O2 (21)</t>
  </si>
  <si>
    <t>Hl</t>
  </si>
  <si>
    <t xml:space="preserve">          * Autre pétrole lampant  :</t>
  </si>
  <si>
    <t xml:space="preserve">               * * Destiné à être utilisé comme combustible</t>
  </si>
  <si>
    <t>27 10.19.25.00.0.1 Q</t>
  </si>
  <si>
    <t xml:space="preserve">                    * * * Combustible liquide pour appareil mobile de chauffage (17) (22)(30)(32)…………..............</t>
  </si>
  <si>
    <t>Litre</t>
  </si>
  <si>
    <t xml:space="preserve"> O2 (21)</t>
  </si>
  <si>
    <t>Hl</t>
  </si>
  <si>
    <t>27 10.19.25.00.0.2 K</t>
  </si>
  <si>
    <t xml:space="preserve">                    * * * Autre (17(26))(30)(32).........................................................................................................................</t>
  </si>
  <si>
    <t>Litre</t>
  </si>
  <si>
    <t xml:space="preserve"> O2 (21)</t>
  </si>
  <si>
    <t>Hl</t>
  </si>
  <si>
    <t>27 10.19.25.00.0.3 Z</t>
  </si>
  <si>
    <t xml:space="preserve">               * * Destiné à être utilisé comme carburant  (11)(30)(32).............................................................................</t>
  </si>
  <si>
    <t>Litre</t>
  </si>
  <si>
    <t xml:space="preserve"> O2 (21)</t>
  </si>
  <si>
    <t>Hl</t>
  </si>
  <si>
    <t>27 10.19.25.00.0.9 R</t>
  </si>
  <si>
    <t xml:space="preserve">           * Autres  (15)(30)(32).......................................................................................................................................</t>
  </si>
  <si>
    <t>Litre</t>
  </si>
  <si>
    <t xml:space="preserve"> O2 (21)</t>
  </si>
  <si>
    <t>Hl</t>
  </si>
  <si>
    <t>Ex</t>
  </si>
  <si>
    <t xml:space="preserve"> - - - - -  Autres huiles moyennes  :</t>
  </si>
  <si>
    <t>27 10.19.29.00.0.1 A</t>
  </si>
  <si>
    <t xml:space="preserve">          * Destinées à être utilisées comme carburant ou combustible  (13)(26)(30)(31).............................…</t>
  </si>
  <si>
    <t>Litre</t>
  </si>
  <si>
    <t xml:space="preserve"> O2 (21)</t>
  </si>
  <si>
    <t>Hl</t>
  </si>
  <si>
    <t>27 10.19.29.00.0.9 X</t>
  </si>
  <si>
    <t xml:space="preserve">          * Autres   (15)(30)(31)   ......................................................................................................        </t>
  </si>
  <si>
    <t>Litre</t>
  </si>
  <si>
    <t xml:space="preserve"> O2 (21)</t>
  </si>
  <si>
    <t>Hl</t>
  </si>
  <si>
    <t>Ex</t>
  </si>
  <si>
    <t xml:space="preserve"> - - -  Huiles lourdes :</t>
  </si>
  <si>
    <t xml:space="preserve"> - - - - gazole :</t>
  </si>
  <si>
    <t>27 10.19.31.00.0.0 E</t>
  </si>
  <si>
    <t xml:space="preserve"> - - - - - destiné à subir un traitement défini (3)(30)(32).........................................................................................…</t>
  </si>
  <si>
    <t>Litre</t>
  </si>
  <si>
    <t>Ex</t>
  </si>
  <si>
    <t xml:space="preserve"> C (18)</t>
  </si>
  <si>
    <t xml:space="preserve"> . . .</t>
  </si>
  <si>
    <t>Hl</t>
  </si>
  <si>
    <t>Ex</t>
  </si>
  <si>
    <t>27 10.19.35.00.0.0 D</t>
  </si>
  <si>
    <t xml:space="preserve"> - - - - - destiné à subir une transformation chimique par un traitement autre que</t>
  </si>
  <si>
    <t xml:space="preserve">          ceux définis pour la sous position 27 10 19 31 (3)(30)(32)..................................................................</t>
  </si>
  <si>
    <t>Litre</t>
  </si>
  <si>
    <t>Ex</t>
  </si>
  <si>
    <t xml:space="preserve"> C (18)</t>
  </si>
  <si>
    <t xml:space="preserve"> . . .</t>
  </si>
  <si>
    <t>Hl</t>
  </si>
  <si>
    <t>Ex</t>
  </si>
  <si>
    <t xml:space="preserve"> - - - - - destiné à d'autres usages :</t>
  </si>
  <si>
    <t xml:space="preserve">           * D'une teneur en poids de soufre n'excédant pas 0,05% :</t>
  </si>
  <si>
    <t>27 10.19.41.00.0.1 C</t>
  </si>
  <si>
    <t xml:space="preserve">               * * Fioul domestique (11) (14) (26)(30) (32)................................................................…</t>
  </si>
  <si>
    <t>Litre</t>
  </si>
  <si>
    <t>Ex</t>
  </si>
  <si>
    <t xml:space="preserve"> C (18)</t>
  </si>
  <si>
    <t xml:space="preserve"> . . .</t>
  </si>
  <si>
    <t>Hl</t>
  </si>
  <si>
    <t>Ex</t>
  </si>
  <si>
    <t>27 10.19.41.00.0.2 H</t>
  </si>
  <si>
    <t xml:space="preserve">               * * Gazole destiné à un usage autre que carburant ou combustible, d'une teneur </t>
  </si>
  <si>
    <t xml:space="preserve">                     en poids de soufre n'excédant pas 0,005% (15)(30)(32)………………………………..……………….</t>
  </si>
  <si>
    <t>Litre</t>
  </si>
  <si>
    <t>Ex</t>
  </si>
  <si>
    <t xml:space="preserve"> C (18)</t>
  </si>
  <si>
    <t xml:space="preserve"> O2 (21)</t>
  </si>
  <si>
    <t>Hl</t>
  </si>
  <si>
    <t>Ex</t>
  </si>
  <si>
    <t>Ex</t>
  </si>
  <si>
    <t>27 10.19.41.00.0.3 W</t>
  </si>
  <si>
    <t xml:space="preserve">               * * Gazole destiné à un usage autre que carburant ou combustible,autre(15)(30)(32)</t>
  </si>
  <si>
    <t>Litre</t>
  </si>
  <si>
    <t>Ex</t>
  </si>
  <si>
    <t xml:space="preserve"> C (18)</t>
  </si>
  <si>
    <t xml:space="preserve"> O2 (21)</t>
  </si>
  <si>
    <t>Hl</t>
  </si>
  <si>
    <t>Ex</t>
  </si>
  <si>
    <t>Ex</t>
  </si>
  <si>
    <t>27 10.19.41.00.0.4 E</t>
  </si>
  <si>
    <t xml:space="preserve">               * * Autre, d'une teneur en poids de soufre n'excédant pas 0,005% (11)(26)(30)(32)………………………………………………………………………………………………………</t>
  </si>
  <si>
    <t>Litre</t>
  </si>
  <si>
    <t>Ex</t>
  </si>
  <si>
    <t xml:space="preserve"> C (18)</t>
  </si>
  <si>
    <t xml:space="preserve"> O2 (21)</t>
  </si>
  <si>
    <t>Hl</t>
  </si>
  <si>
    <t>Ex</t>
  </si>
  <si>
    <t xml:space="preserve">27 10.19.41.00.0.9 M </t>
  </si>
  <si>
    <t xml:space="preserve">               * * Autre, autres (11)(26)(30)(32)..................………………………………………………………</t>
  </si>
  <si>
    <t>Litre</t>
  </si>
  <si>
    <t>Ex</t>
  </si>
  <si>
    <t xml:space="preserve"> C (18)</t>
  </si>
  <si>
    <t xml:space="preserve"> O2 (21)</t>
  </si>
  <si>
    <t>Hl</t>
  </si>
  <si>
    <t>Ex</t>
  </si>
  <si>
    <t xml:space="preserve">          * D'une teneur en poids de soufre &gt; à  0,05% mais &lt; ou = à 0,2% :</t>
  </si>
  <si>
    <t>27 10.19.45.00.0.1 E</t>
  </si>
  <si>
    <t xml:space="preserve">               * * Fioul domestique (11) (14)(26) (30) (32)......................................................…</t>
  </si>
  <si>
    <t>Litre</t>
  </si>
  <si>
    <t>Ex</t>
  </si>
  <si>
    <t xml:space="preserve"> C (18)</t>
  </si>
  <si>
    <t xml:space="preserve"> . . .</t>
  </si>
  <si>
    <t>Hl</t>
  </si>
  <si>
    <t>Ex</t>
  </si>
  <si>
    <t>27 10.19.45.00.0.2 N</t>
  </si>
  <si>
    <t xml:space="preserve">               * * Gazole destiné à un usage autre que carburant ou combustible  (15)(30)(32)……………..</t>
  </si>
  <si>
    <t>Litre</t>
  </si>
  <si>
    <t>Ex</t>
  </si>
  <si>
    <t xml:space="preserve"> C (18)</t>
  </si>
  <si>
    <t xml:space="preserve"> O2 (21)</t>
  </si>
  <si>
    <t>Hl</t>
  </si>
  <si>
    <t>Ex</t>
  </si>
  <si>
    <t>Ex</t>
  </si>
  <si>
    <t>27 10.19.45.00.0.9 Q</t>
  </si>
  <si>
    <t xml:space="preserve">               * * Autre (5)(11) (21)(26)(30)(32)............................................................................................................................</t>
  </si>
  <si>
    <t>Litre</t>
  </si>
  <si>
    <t>Ex</t>
  </si>
  <si>
    <t xml:space="preserve"> C (18)</t>
  </si>
  <si>
    <t xml:space="preserve"> O2 (21)</t>
  </si>
  <si>
    <t>Hl</t>
  </si>
  <si>
    <t>Ex</t>
  </si>
  <si>
    <t xml:space="preserve">           * D'une teneur en poids de soufre excédant 0,2% :</t>
  </si>
  <si>
    <t>27 10.19.49.00.0.1 D</t>
  </si>
  <si>
    <t xml:space="preserve">               * * Gazole destiné à un usage autre que carburant ou combustible  (15)(30)(32)……………..</t>
  </si>
  <si>
    <t>Litre</t>
  </si>
  <si>
    <t xml:space="preserve"> C (18)</t>
  </si>
  <si>
    <t xml:space="preserve"> O2 (21)</t>
  </si>
  <si>
    <t>Hl</t>
  </si>
  <si>
    <t>Ex</t>
  </si>
  <si>
    <t>27 10.19.49.00.0.9 A</t>
  </si>
  <si>
    <t xml:space="preserve">               * * Autre (5 bis) (11) (21)(26)(30).(32)...........................................................................................................................</t>
  </si>
  <si>
    <t>Litre</t>
  </si>
  <si>
    <t xml:space="preserve"> C (18)</t>
  </si>
  <si>
    <t xml:space="preserve"> O2 (21)</t>
  </si>
  <si>
    <t>Hl</t>
  </si>
  <si>
    <t xml:space="preserve"> - - - -    Fuels-oils :</t>
  </si>
  <si>
    <t>27 10.19.51.00.0.0 B</t>
  </si>
  <si>
    <t xml:space="preserve"> - - - - - destinés à subir un traitement défini (3) (30)(32)..............................................................................................</t>
  </si>
  <si>
    <t>Ex</t>
  </si>
  <si>
    <t xml:space="preserve"> C (18)</t>
  </si>
  <si>
    <t xml:space="preserve"> . . .</t>
  </si>
  <si>
    <t>100 Kg</t>
  </si>
  <si>
    <t>Ex</t>
  </si>
  <si>
    <t>27 10.19.55.00.0.0 J</t>
  </si>
  <si>
    <t xml:space="preserve"> - - - - - destinés à subir une transformation chimique par un traitement autre que</t>
  </si>
  <si>
    <t xml:space="preserve">        ceux définis pour la sous position 27 10 19 51 (3)(30) (32)...............................................................................................</t>
  </si>
  <si>
    <t>Ex</t>
  </si>
  <si>
    <t xml:space="preserve"> C (18)</t>
  </si>
  <si>
    <t xml:space="preserve"> . . .</t>
  </si>
  <si>
    <t>100 Kg</t>
  </si>
  <si>
    <t>Ex</t>
  </si>
  <si>
    <t xml:space="preserve"> - - - - - destinés à d'autres usages :</t>
  </si>
  <si>
    <t xml:space="preserve">          * D'une teneur en poids de soufre &lt; ou = 1% :</t>
  </si>
  <si>
    <t xml:space="preserve">                ** destinés à être utilisés dans la fabrication de combustibles pour la navigation maritime</t>
  </si>
  <si>
    <t>27 10.19.61.10.0.1 E</t>
  </si>
  <si>
    <t xml:space="preserve">                        * * * destinés à être utilisés comme carburant (30)(32)....................................</t>
  </si>
  <si>
    <t xml:space="preserve"> C (18)</t>
  </si>
  <si>
    <t xml:space="preserve"> O2 (21)</t>
  </si>
  <si>
    <t>Hl</t>
  </si>
  <si>
    <t>. . .</t>
  </si>
  <si>
    <t>27 10.19.61.10.0.3 V</t>
  </si>
  <si>
    <t xml:space="preserve">                        * * * destinés à être utilisés comme combustible pour la production </t>
  </si>
  <si>
    <t xml:space="preserve">                             d'alumine (10)(30)(32)………………………………….........…</t>
  </si>
  <si>
    <t xml:space="preserve"> C (18)</t>
  </si>
  <si>
    <t xml:space="preserve"> O2 (21)</t>
  </si>
  <si>
    <t>100 Kg</t>
  </si>
  <si>
    <t>Ex</t>
  </si>
  <si>
    <t>27 10.19.61.10.0.5 Y</t>
  </si>
  <si>
    <t xml:space="preserve">                       * * * destinés à être utilisés comme combustible, autres (26)(30)(32)................………......................</t>
  </si>
  <si>
    <t>. . .</t>
  </si>
  <si>
    <t>100 Kg</t>
  </si>
  <si>
    <t>27 10.19.61.10.0.9 Q</t>
  </si>
  <si>
    <t xml:space="preserve">                       * * *  destinés à un autre usage que carburant ou combustible (15).(30)(32)...………………......</t>
  </si>
  <si>
    <t xml:space="preserve"> C (18)</t>
  </si>
  <si>
    <t xml:space="preserve"> O2 (21)</t>
  </si>
  <si>
    <t>100 Kg</t>
  </si>
  <si>
    <t>Ex</t>
  </si>
  <si>
    <t>. . .</t>
  </si>
  <si>
    <t xml:space="preserve">               ** autres</t>
  </si>
  <si>
    <t>27 10.19.61.90.0.1 X</t>
  </si>
  <si>
    <t xml:space="preserve">                        * * * destinés à être utilisés comme carburant (30)(32)....................................</t>
  </si>
  <si>
    <t>Hl</t>
  </si>
  <si>
    <t>. . .</t>
  </si>
  <si>
    <t>27 10.19.61.90.0.3 H</t>
  </si>
  <si>
    <t xml:space="preserve">                        * * * destinés à être utilisés comme combustible pour la production </t>
  </si>
  <si>
    <t xml:space="preserve">                             d'alumine (10)(30)(32)………………………………….........…</t>
  </si>
  <si>
    <t>100 Kg</t>
  </si>
  <si>
    <t>Ex</t>
  </si>
  <si>
    <t>27 10.19.61.90.0.5 E</t>
  </si>
  <si>
    <t xml:space="preserve">                       * * * destinés à être utilisés comme combustible, autres (26)(30)(32)................………......................</t>
  </si>
  <si>
    <t>100 Kg</t>
  </si>
  <si>
    <t>27 10.19.61.90.0.9 Y</t>
  </si>
  <si>
    <t xml:space="preserve">                       * * *  destinés à un autre usage que carburant ou combustible (15).(30)(32)...………………......</t>
  </si>
  <si>
    <t>100 Kg</t>
  </si>
  <si>
    <t>Ex</t>
  </si>
  <si>
    <t>. . .</t>
  </si>
  <si>
    <t xml:space="preserve">          * D'une teneur en poids de soufre &gt; 1% mais &lt; ou = 2% :</t>
  </si>
  <si>
    <t xml:space="preserve">                ** destinés à être utilisés dans la fabrication de combustibles pour la navigation maritime</t>
  </si>
  <si>
    <t>27 10.19.63.10.0.1 S</t>
  </si>
  <si>
    <t xml:space="preserve">                    * *  destiné à être utilisé comme carburant  (27)(30)(32)…................................</t>
  </si>
  <si>
    <t xml:space="preserve"> C (18)</t>
  </si>
  <si>
    <t xml:space="preserve"> O2 (21)</t>
  </si>
  <si>
    <t>Hl</t>
  </si>
  <si>
    <t>. . .</t>
  </si>
  <si>
    <t>27 10.19.63.10.0.3 B</t>
  </si>
  <si>
    <t xml:space="preserve">                    * *   destinés à être utilisés comme combustible pour la production </t>
  </si>
  <si>
    <t xml:space="preserve">                          d'alumine (10)(27)(30)(32)…………………………………….</t>
  </si>
  <si>
    <t xml:space="preserve"> C (18)</t>
  </si>
  <si>
    <t xml:space="preserve"> O2 (21)</t>
  </si>
  <si>
    <t>100 Kg</t>
  </si>
  <si>
    <t>Ex</t>
  </si>
  <si>
    <t>27 10.19.63.10.0.5 G</t>
  </si>
  <si>
    <t xml:space="preserve">                    * *  destinés à être utilisés comme combustibles, autres (26)(27)(30)(32)...................................…</t>
  </si>
  <si>
    <t>. . .</t>
  </si>
  <si>
    <t>100 Kg</t>
  </si>
  <si>
    <t>27 10.19.63.10.0.9H</t>
  </si>
  <si>
    <t xml:space="preserve">                    * *  destinés à un usage autre que carburant ou combustible  (15)(30)(32)...................................................................................................................</t>
  </si>
  <si>
    <t xml:space="preserve"> C (18)</t>
  </si>
  <si>
    <t xml:space="preserve"> O2 (21)</t>
  </si>
  <si>
    <t>100 Kg</t>
  </si>
  <si>
    <t>Ex</t>
  </si>
  <si>
    <t>. . .</t>
  </si>
  <si>
    <t xml:space="preserve">               ** autres</t>
  </si>
  <si>
    <t>27 10.19.63.90.0.1 K</t>
  </si>
  <si>
    <t xml:space="preserve">                    * *  destiné à être utilisé comme carburant  (27)(30)(32)…................................</t>
  </si>
  <si>
    <t xml:space="preserve"> C (18)</t>
  </si>
  <si>
    <t xml:space="preserve"> O2 (21)</t>
  </si>
  <si>
    <t>Hl</t>
  </si>
  <si>
    <t>. . .</t>
  </si>
  <si>
    <t>27 10.19.63.90.0.3 A</t>
  </si>
  <si>
    <t xml:space="preserve">                    * *   destinés à être utilisés comme combustible pour la production </t>
  </si>
  <si>
    <t xml:space="preserve">                          d'alumine (10)(27)(30)(32)…………………………………….</t>
  </si>
  <si>
    <t xml:space="preserve"> C (18)</t>
  </si>
  <si>
    <t xml:space="preserve"> O2 (21)</t>
  </si>
  <si>
    <t>100 Kg</t>
  </si>
  <si>
    <t>Ex</t>
  </si>
  <si>
    <t>27 10.19.63.90.0.5 S</t>
  </si>
  <si>
    <t xml:space="preserve">                    * *  destinés à être utilisés comme combustibles, autres (26)(27)(30)(32)..</t>
  </si>
  <si>
    <t>. . .</t>
  </si>
  <si>
    <t>100 Kg</t>
  </si>
  <si>
    <t>27 10.19.63.90.0.9G</t>
  </si>
  <si>
    <t xml:space="preserve">                    * *  destinés à un usage autre que carburant ou combustible  (15)(30)(32)..</t>
  </si>
  <si>
    <t xml:space="preserve"> C (18)</t>
  </si>
  <si>
    <t xml:space="preserve"> O2 (21)</t>
  </si>
  <si>
    <t>100 Kg</t>
  </si>
  <si>
    <t>Ex</t>
  </si>
  <si>
    <t>. . .</t>
  </si>
  <si>
    <t xml:space="preserve">          * D'une teneur en poids de soufre &gt;2% mais &lt; ou = 2,8% :</t>
  </si>
  <si>
    <t>27 10.19.65.00.0.1 B</t>
  </si>
  <si>
    <t xml:space="preserve">                    * *  destiné à être utilisé comme carburant  (27)(30)(32)…..................................</t>
  </si>
  <si>
    <t xml:space="preserve"> C (18)</t>
  </si>
  <si>
    <t xml:space="preserve"> O2 (21)</t>
  </si>
  <si>
    <t>Hl</t>
  </si>
  <si>
    <t>. . .</t>
  </si>
  <si>
    <t>27 10.19.65.00.0.5 X</t>
  </si>
  <si>
    <t xml:space="preserve">                    * *  destinés à être utilisés comme combustible, autre (26)(27)(30) (32)….............................................................</t>
  </si>
  <si>
    <t>. . .</t>
  </si>
  <si>
    <t>100 Kg</t>
  </si>
  <si>
    <t>27 10.19.65.00.0.9 E</t>
  </si>
  <si>
    <t xml:space="preserve">                    * *  destinés à un usage autre que carburant ou combustible (15) (30)(32)..…</t>
  </si>
  <si>
    <t xml:space="preserve"> C (18)</t>
  </si>
  <si>
    <t xml:space="preserve"> O2 (21)</t>
  </si>
  <si>
    <t>100 Kg</t>
  </si>
  <si>
    <t>Ex</t>
  </si>
  <si>
    <t>. . .</t>
  </si>
  <si>
    <t xml:space="preserve">          * D'une teneur en poids de soufre &gt; 2,8% :</t>
  </si>
  <si>
    <t>27 10.19.69.00.0.1 J</t>
  </si>
  <si>
    <t xml:space="preserve">                    * *  destiné à être utilisé comme carburant (27)(30)(32)…......................</t>
  </si>
  <si>
    <t xml:space="preserve"> C (18)</t>
  </si>
  <si>
    <t xml:space="preserve"> O2 (21)</t>
  </si>
  <si>
    <t>Hl</t>
  </si>
  <si>
    <t>. . .</t>
  </si>
  <si>
    <t>27 10.19.69.00.0.5 W</t>
  </si>
  <si>
    <t xml:space="preserve">                    * *  destinés à être utilisés comme combustible, autre (26)(27)(30)(32)..................................................…</t>
  </si>
  <si>
    <t>. . .</t>
  </si>
  <si>
    <t>100 Kg</t>
  </si>
  <si>
    <t>27 10.19.69.00.0.9 D</t>
  </si>
  <si>
    <t xml:space="preserve">                    * *   destinés à un usage autre que carburant ou combustible  (15) (30)(32)...............................................................................................................................</t>
  </si>
  <si>
    <t xml:space="preserve"> C (18)</t>
  </si>
  <si>
    <t xml:space="preserve"> O2 (21)</t>
  </si>
  <si>
    <t>100 Kg</t>
  </si>
  <si>
    <t>Ex</t>
  </si>
  <si>
    <t>. . .</t>
  </si>
  <si>
    <t xml:space="preserve"> - - - - Huiles lubrifiantes et autres :</t>
  </si>
  <si>
    <t>27 10.19.71.00.0.0 F</t>
  </si>
  <si>
    <t xml:space="preserve"> - - - - - destinées à subir un traitement défini (3) (30)...............................................................</t>
  </si>
  <si>
    <t>Ex</t>
  </si>
  <si>
    <t>100 Kg</t>
  </si>
  <si>
    <t>Ex</t>
  </si>
  <si>
    <t>27 10.19.75.00.0.0 Z</t>
  </si>
  <si>
    <t xml:space="preserve"> - - - - - destinées à subir une transformation chimique par un traitement autre que ceux</t>
  </si>
  <si>
    <t xml:space="preserve"> </t>
  </si>
  <si>
    <t xml:space="preserve">        définis pour la sous position 27 10 19 71 (3) (30)..................................................................................................</t>
  </si>
  <si>
    <t>Ex</t>
  </si>
  <si>
    <t>100 Kg</t>
  </si>
  <si>
    <t>Ex</t>
  </si>
  <si>
    <t xml:space="preserve"> - - - - - destinées à d'autres usages :</t>
  </si>
  <si>
    <t xml:space="preserve"> </t>
  </si>
  <si>
    <t>A/B/C</t>
  </si>
  <si>
    <t xml:space="preserve">           * Huiles pour moteurs, compresseurs et turbines</t>
  </si>
  <si>
    <t>27 10.19.81.00.0.1 Y</t>
  </si>
  <si>
    <t xml:space="preserve">               * * énumérées à l'annexe I du décret du 17 juin 1999 modifié pris pour l'application de la taxe générale sur les activités polluantes (26)(28) (28 bis) (28 ter)(30)</t>
  </si>
  <si>
    <t>100 Kg</t>
  </si>
  <si>
    <t>Ex</t>
  </si>
  <si>
    <t>TGAP</t>
  </si>
  <si>
    <t>27 10.19.81.00.0.9 P</t>
  </si>
  <si>
    <t xml:space="preserve">               * * autres (26)(30)…………………………………………………………………………………………………….</t>
  </si>
  <si>
    <t>100 Kg</t>
  </si>
  <si>
    <t>Ex</t>
  </si>
  <si>
    <t>A/B/C</t>
  </si>
  <si>
    <t xml:space="preserve">           * Liquides pour transmission hydrauliques</t>
  </si>
  <si>
    <t>g</t>
  </si>
  <si>
    <t>27 10.19.83.00.0.1 G</t>
  </si>
  <si>
    <t xml:space="preserve">               * * énumérées à l'annexe I du décret du 17 juin 1999 modifié pris pour l'application de la taxe générale sur les activités polluantes(26) (28) (28 bis) (28 ter)(30)</t>
  </si>
  <si>
    <t>100 Kg</t>
  </si>
  <si>
    <t>Ex</t>
  </si>
  <si>
    <t>TGAP</t>
  </si>
  <si>
    <t>27 10.19.83.00.0.9 V</t>
  </si>
  <si>
    <t xml:space="preserve">               * * autres  (26)(30)…………………………………………………………………………………………………….</t>
  </si>
  <si>
    <t>100 Kg</t>
  </si>
  <si>
    <t>Ex</t>
  </si>
  <si>
    <t>27 10.19.85.00.0.0 T</t>
  </si>
  <si>
    <t xml:space="preserve">           * Huiles blanches, paraffine liquide………………………………………………………………………..</t>
  </si>
  <si>
    <t>100 Kg</t>
  </si>
  <si>
    <t>Ex</t>
  </si>
  <si>
    <t>A/B/C</t>
  </si>
  <si>
    <t xml:space="preserve">           * Huiles pour engrenages</t>
  </si>
  <si>
    <t>27 10.19.87.00.0.1 C</t>
  </si>
  <si>
    <t xml:space="preserve">               * * énumérées à l'annexe I du décret du 17 juin 1999 modifié pris pour l'application de la taxe générale sur les activités polluantes (26)(28) (28 bis) (28 ter)(30)</t>
  </si>
  <si>
    <t>100 Kg</t>
  </si>
  <si>
    <t>Ex</t>
  </si>
  <si>
    <t>TGAP</t>
  </si>
  <si>
    <t>27 10.19.87.00.0.9 M</t>
  </si>
  <si>
    <t xml:space="preserve">               * * autres (26)(30)…………………………………………………………………………………………………….</t>
  </si>
  <si>
    <t>100 Kg</t>
  </si>
  <si>
    <t>Ex</t>
  </si>
  <si>
    <t>A/B/C</t>
  </si>
  <si>
    <t xml:space="preserve">           * Huiles pour usiner les métaux, huiles de démoulage, huiles anticorrosives</t>
  </si>
  <si>
    <t>27 10.19.91.00.0.1 E</t>
  </si>
  <si>
    <t xml:space="preserve">               * * énumérées à l'annexe I du décret du 17 juin 1999 modifié pris pour l'application de la taxe générale sur les activités polluantes(26) (28) (28 bis) (28 ter)(30)</t>
  </si>
  <si>
    <t>100 Kg</t>
  </si>
  <si>
    <t>Ex</t>
  </si>
  <si>
    <t>TGAP</t>
  </si>
  <si>
    <t>27 10.19.91.00.0.9 Q</t>
  </si>
  <si>
    <t xml:space="preserve">               * * autres (26)(30)…………………………………………………………………………………………………….</t>
  </si>
  <si>
    <t>100 Kg</t>
  </si>
  <si>
    <t>Ex</t>
  </si>
  <si>
    <t>A/B/C</t>
  </si>
  <si>
    <t xml:space="preserve">           *  Huiles isolantes</t>
  </si>
  <si>
    <t>27 10.19.93.00.0.1 S</t>
  </si>
  <si>
    <t xml:space="preserve">               * * énumérées à l'annexe I du décret du 17 juin 1999 modifié pris pour l'application de la taxe générale sur les activités polluantes (26)(28) (28 bis) (28 ter)(30)</t>
  </si>
  <si>
    <t>100 Kg</t>
  </si>
  <si>
    <t>Ex</t>
  </si>
  <si>
    <t>TGAP</t>
  </si>
  <si>
    <t>27 10.19.93.00.0.9 H</t>
  </si>
  <si>
    <t xml:space="preserve">               * * autres (26)(30)…………………………………………………………………………………………………….</t>
  </si>
  <si>
    <t>100 Kg</t>
  </si>
  <si>
    <t>Ex</t>
  </si>
  <si>
    <t>A/B/C</t>
  </si>
  <si>
    <t xml:space="preserve">           *  Autres huiles lubrifiantes et autres</t>
  </si>
  <si>
    <t>27 10.19.99.00.0.1 T</t>
  </si>
  <si>
    <t xml:space="preserve">               * * énumérées à l'annexe I du décret du 17 juin 1999 modifié pris pour l'application de la taxe générale sur les activités polluantes(26) (28) (28 bis) (28 ter)(30)</t>
  </si>
  <si>
    <t>100 Kg</t>
  </si>
  <si>
    <t>Ex</t>
  </si>
  <si>
    <t>TGAP</t>
  </si>
  <si>
    <t>27 10.19.99.00.0.9 L</t>
  </si>
  <si>
    <t xml:space="preserve">               * * autres (13) (26)(30)…………………………………………………………………………………………………….</t>
  </si>
  <si>
    <t>100 Kg</t>
  </si>
  <si>
    <t>Ex</t>
  </si>
  <si>
    <t>- Déchets d'huiles :</t>
  </si>
  <si>
    <t xml:space="preserve">- - contenant des diphényles polychlorés (PCB), des terphényles polychlorés (PCT) </t>
  </si>
  <si>
    <t>ou des diphényles polybromés (PBB) ;</t>
  </si>
  <si>
    <t>27 10.91.00.00.0.1 S</t>
  </si>
  <si>
    <t xml:space="preserve">- - - destinés à un usage autre que carburant ou combustible ou destinés à </t>
  </si>
  <si>
    <t xml:space="preserve">une installation habilitée à brûler des déchets d'hydrocarbures, ouvrant droit </t>
  </si>
  <si>
    <t>à exonération (33)</t>
  </si>
  <si>
    <t>. . .</t>
  </si>
  <si>
    <t>100 Kg</t>
  </si>
  <si>
    <t>Ex</t>
  </si>
  <si>
    <t>. . .</t>
  </si>
  <si>
    <t>TVO</t>
  </si>
  <si>
    <t>27 10.91.00.00.0.9 H</t>
  </si>
  <si>
    <t>- - - autres……………………………………………………………………………………………………………………………………………………………</t>
  </si>
  <si>
    <t>. . .</t>
  </si>
  <si>
    <t>100 Kg</t>
  </si>
  <si>
    <t>. . .</t>
  </si>
  <si>
    <t>TVO</t>
  </si>
  <si>
    <t>- - autres</t>
  </si>
  <si>
    <t>27 10.99.00.00.0.1 B</t>
  </si>
  <si>
    <t xml:space="preserve">- - - destinés à un usage autre que carburant ou combustible ou destinés à </t>
  </si>
  <si>
    <t xml:space="preserve">une installation habilitée à brûler des déchets d'hydrocarbures, ouvrant droit </t>
  </si>
  <si>
    <t xml:space="preserve">à exonération (33) </t>
  </si>
  <si>
    <t>. . .</t>
  </si>
  <si>
    <t>100 Kg</t>
  </si>
  <si>
    <t>Ex</t>
  </si>
  <si>
    <t>. . .</t>
  </si>
  <si>
    <t>TVO</t>
  </si>
  <si>
    <t>27 10.99.00.00.0.9 E</t>
  </si>
  <si>
    <t>- - - autres……………………………………………………………………………………………………………………………………………………………</t>
  </si>
  <si>
    <t>. . .</t>
  </si>
  <si>
    <t>100 Kg</t>
  </si>
  <si>
    <t>. . .</t>
  </si>
  <si>
    <t>TVO</t>
  </si>
  <si>
    <t>Gaz de pétrole et autres hydrocarbures gazeux :</t>
  </si>
  <si>
    <t xml:space="preserve"> - Liquéfiés :</t>
  </si>
  <si>
    <t xml:space="preserve"> - - Propane :</t>
  </si>
  <si>
    <t xml:space="preserve"> - - - Propane d'une pureté égale ou supérieure à 99% :</t>
  </si>
  <si>
    <t>27 11.12.11.00.0.0 L</t>
  </si>
  <si>
    <t xml:space="preserve"> - - - - destiné à ëtre utilisé comme carburant ou comme combustible (26)(32)……………………………………………………………………………..</t>
  </si>
  <si>
    <t>. . .</t>
  </si>
  <si>
    <t>. . .</t>
  </si>
  <si>
    <t>27 11.12.19.00.0.0 C</t>
  </si>
  <si>
    <t xml:space="preserve"> - - - - destiné à d'autres usages (32)…...……………………………………………………...……………………………………………………..</t>
  </si>
  <si>
    <t>. . .</t>
  </si>
  <si>
    <t>Ex</t>
  </si>
  <si>
    <t>Ex</t>
  </si>
  <si>
    <t>Ex</t>
  </si>
  <si>
    <t>. . .</t>
  </si>
  <si>
    <t xml:space="preserve"> - - - Autre : </t>
  </si>
  <si>
    <t>27 11.12.91.00.0.0 M</t>
  </si>
  <si>
    <t xml:space="preserve"> - - - - destiné à subir un traitement défini (3) (19) (30)(32)...................................................................................................</t>
  </si>
  <si>
    <t xml:space="preserve"> . . .</t>
  </si>
  <si>
    <t>Ex</t>
  </si>
  <si>
    <t xml:space="preserve"> . . .</t>
  </si>
  <si>
    <t xml:space="preserve"> . . .</t>
  </si>
  <si>
    <t xml:space="preserve"> . . .</t>
  </si>
  <si>
    <t>Ex</t>
  </si>
  <si>
    <t>27 11.12.93.00.0.0 J</t>
  </si>
  <si>
    <t xml:space="preserve"> - - - - destiné à subir une transformation chimique par un traitement autre que ceux</t>
  </si>
  <si>
    <t xml:space="preserve">              définis pour la sous position 27 11 12  91 (3) (19) (30)(32).........................................................................</t>
  </si>
  <si>
    <t xml:space="preserve"> . . .</t>
  </si>
  <si>
    <t>Ex</t>
  </si>
  <si>
    <t xml:space="preserve"> . . .</t>
  </si>
  <si>
    <t xml:space="preserve"> . . .</t>
  </si>
  <si>
    <t xml:space="preserve"> . . .</t>
  </si>
  <si>
    <t>Ex</t>
  </si>
  <si>
    <t xml:space="preserve"> - - - - destiné à d'autres usages</t>
  </si>
  <si>
    <t xml:space="preserve"> - - - - -  d'une pureté supérieure à 90 % mais inférieure à 99% :</t>
  </si>
  <si>
    <t>27 11.12.94.00.0.1 L</t>
  </si>
  <si>
    <t xml:space="preserve">            * sous conditions d'emploi  (11) (16) (19)(30)(32)..................................................................…</t>
  </si>
  <si>
    <t xml:space="preserve"> . . .</t>
  </si>
  <si>
    <t>100 Kg</t>
  </si>
  <si>
    <t xml:space="preserve"> . . .</t>
  </si>
  <si>
    <t>27 11.12.94.00.0.2 B</t>
  </si>
  <si>
    <t xml:space="preserve">            * destiné à être utilisé comme carburant (11) (19)(30)(32)...............................................</t>
  </si>
  <si>
    <t xml:space="preserve"> . . .</t>
  </si>
  <si>
    <t>100 Kg</t>
  </si>
  <si>
    <t>27 11.12.94.00.0.9 W</t>
  </si>
  <si>
    <t xml:space="preserve">            * autre (19)(26)(30)(32).........................................................................................................................................</t>
  </si>
  <si>
    <t xml:space="preserve"> . . .</t>
  </si>
  <si>
    <t>100 Kg</t>
  </si>
  <si>
    <t>Ex</t>
  </si>
  <si>
    <t xml:space="preserve"> . . .</t>
  </si>
  <si>
    <t xml:space="preserve"> - - - - - autres :</t>
  </si>
  <si>
    <t xml:space="preserve"> </t>
  </si>
  <si>
    <t>27 11.12.97.00.0.1 W</t>
  </si>
  <si>
    <t xml:space="preserve">            * sous conditions d'emploi  (11) (16) (19)(30)(32)...................................................................…</t>
  </si>
  <si>
    <t xml:space="preserve"> . . .</t>
  </si>
  <si>
    <t>100 Kg</t>
  </si>
  <si>
    <t xml:space="preserve"> . . .</t>
  </si>
  <si>
    <t>27 11.12.97.00.0.2 E</t>
  </si>
  <si>
    <t xml:space="preserve">             * destiné à être utilisé comme carburant (11) (19)(30)(32).................................................</t>
  </si>
  <si>
    <t xml:space="preserve"> . . .</t>
  </si>
  <si>
    <t>100 Kg</t>
  </si>
  <si>
    <t>27 11.12.97.00.0.9 F</t>
  </si>
  <si>
    <t xml:space="preserve">             * autres (19)(26)(30)(32).........................................................................................................................................</t>
  </si>
  <si>
    <t xml:space="preserve"> . . .</t>
  </si>
  <si>
    <t>100 Kg</t>
  </si>
  <si>
    <t>Ex</t>
  </si>
  <si>
    <t xml:space="preserve"> . . .</t>
  </si>
  <si>
    <t xml:space="preserve"> - - Butanes  :</t>
  </si>
  <si>
    <t xml:space="preserve"> </t>
  </si>
  <si>
    <t>27 11.13.10.00.0.0 V</t>
  </si>
  <si>
    <t xml:space="preserve"> - - - Destinés à subir un traitement défini (3) (19) (30)(32).............................................................................</t>
  </si>
  <si>
    <t xml:space="preserve"> . . .</t>
  </si>
  <si>
    <t>Ex</t>
  </si>
  <si>
    <t xml:space="preserve"> . . .</t>
  </si>
  <si>
    <t xml:space="preserve"> . . .</t>
  </si>
  <si>
    <t xml:space="preserve"> . . .</t>
  </si>
  <si>
    <t>Ex</t>
  </si>
  <si>
    <t>27 11.13.30.00.0.0 G</t>
  </si>
  <si>
    <t xml:space="preserve"> - - - Destinés à subir une transformation chimique par un traitement autre que ceux</t>
  </si>
  <si>
    <t xml:space="preserve">       définis pour la sous-position 27 11 13 10 (3) (19) (30)(32)......................................................................…</t>
  </si>
  <si>
    <t xml:space="preserve"> . . .</t>
  </si>
  <si>
    <t>Ex</t>
  </si>
  <si>
    <t xml:space="preserve"> . . .</t>
  </si>
  <si>
    <t xml:space="preserve"> . . .</t>
  </si>
  <si>
    <t xml:space="preserve"> . . .</t>
  </si>
  <si>
    <t>Ex</t>
  </si>
  <si>
    <t xml:space="preserve"> - - - Destinés à d'autres usages :</t>
  </si>
  <si>
    <t xml:space="preserve"> - - - - d'une pureté supérieure à 90% mais inférieure à 95% :</t>
  </si>
  <si>
    <t>27 11.13.91.00.0.1 P</t>
  </si>
  <si>
    <t xml:space="preserve"> - - - - - sous conditions d'emploi  (11) (16) (19)(30)(32)...................................................................…</t>
  </si>
  <si>
    <t xml:space="preserve"> . . .</t>
  </si>
  <si>
    <t>100 Kg</t>
  </si>
  <si>
    <t xml:space="preserve"> . . .</t>
  </si>
  <si>
    <t>27 11.13.91.00.0.2 S</t>
  </si>
  <si>
    <t xml:space="preserve"> - - - - - destiné à être utilisé comme carburant (11)(19)(30)(32).................................................</t>
  </si>
  <si>
    <t xml:space="preserve"> . . .</t>
  </si>
  <si>
    <t>100 Kg</t>
  </si>
  <si>
    <t>27 11.13.91.00.0 9 C</t>
  </si>
  <si>
    <t xml:space="preserve"> - - - - - autres (19)(26) (30)(32)..................................................................................................................................................</t>
  </si>
  <si>
    <t xml:space="preserve"> . . .</t>
  </si>
  <si>
    <t>100 Kg</t>
  </si>
  <si>
    <t>Ex</t>
  </si>
  <si>
    <t xml:space="preserve"> . . .</t>
  </si>
  <si>
    <t xml:space="preserve"> - - - - autres :</t>
  </si>
  <si>
    <t>27 11.13.97.00.0.1 M</t>
  </si>
  <si>
    <t xml:space="preserve"> - - - - -  sous conditions d'emploi  (11) (16) (19) (30)(32)..................................................................…</t>
  </si>
  <si>
    <t xml:space="preserve"> . . .</t>
  </si>
  <si>
    <t>100 Kg</t>
  </si>
  <si>
    <t xml:space="preserve"> . . .</t>
  </si>
  <si>
    <t>27 11.13.97.00.0.2 T</t>
  </si>
  <si>
    <t xml:space="preserve"> - - - - -  destiné à être utilisé comme carburant (11) (19) (30)(32)...............................................</t>
  </si>
  <si>
    <t xml:space="preserve"> . . .</t>
  </si>
  <si>
    <t>100 Kg</t>
  </si>
  <si>
    <t>27 11.13.97.00.0.9 S</t>
  </si>
  <si>
    <t xml:space="preserve"> - - - - -  autres (19)(26)(30)(32).................................................................................................................................................</t>
  </si>
  <si>
    <t>100 Kg</t>
  </si>
  <si>
    <t>Ex</t>
  </si>
  <si>
    <t>27 11.14.00.00.0.0 P</t>
  </si>
  <si>
    <t xml:space="preserve"> - - Ethylène, propylène, butylène et butadiène, liquéfiés (13) (30)(32).........................................................</t>
  </si>
  <si>
    <t>Ex</t>
  </si>
  <si>
    <t>Ex</t>
  </si>
  <si>
    <t>Ex</t>
  </si>
  <si>
    <t xml:space="preserve"> - -  Autres gaz de pétrole liquéfiés :</t>
  </si>
  <si>
    <t>27 11.19.00.00.0.1 C</t>
  </si>
  <si>
    <t xml:space="preserve"> - - -  sous conditions d'emploi (11) (16) (19) (30)(32).....................................................................…</t>
  </si>
  <si>
    <t>Ex</t>
  </si>
  <si>
    <t>100 Kg</t>
  </si>
  <si>
    <t>Ex</t>
  </si>
  <si>
    <t xml:space="preserve"> . . .</t>
  </si>
  <si>
    <t>27 11.19.00.00.0.2 H</t>
  </si>
  <si>
    <t xml:space="preserve"> - - - destiné à être utilisé comme carburant  (11) (19) (30)(32)............................................................................…</t>
  </si>
  <si>
    <t>Ex</t>
  </si>
  <si>
    <t>100 Kg</t>
  </si>
  <si>
    <t>Ex</t>
  </si>
  <si>
    <t>27 11.19.00.00.0.9 M</t>
  </si>
  <si>
    <t xml:space="preserve"> - - -  Autres (19) (26)(30)(32)............................................................................................................................................................</t>
  </si>
  <si>
    <t xml:space="preserve"> . . .</t>
  </si>
  <si>
    <t>Ex</t>
  </si>
  <si>
    <t xml:space="preserve"> . . .</t>
  </si>
  <si>
    <t xml:space="preserve"> . . .</t>
  </si>
  <si>
    <t xml:space="preserve"> . . .</t>
  </si>
  <si>
    <t>Ex</t>
  </si>
  <si>
    <t>Ex</t>
  </si>
  <si>
    <t xml:space="preserve"> . . .</t>
  </si>
  <si>
    <t xml:space="preserve"> - A l'etat gazeux :</t>
  </si>
  <si>
    <t xml:space="preserve"> - - Gaz naturel :</t>
  </si>
  <si>
    <t>27 11.21.00.00.0.1 K</t>
  </si>
  <si>
    <t xml:space="preserve"> - - - comprimé, destiné à être utilisé comme carburant  (11) (30).…………………………………………………….................</t>
  </si>
  <si>
    <t xml:space="preserve">TJ </t>
  </si>
  <si>
    <t>Ex</t>
  </si>
  <si>
    <t xml:space="preserve"> . . .</t>
  </si>
  <si>
    <t xml:space="preserve"> . . .</t>
  </si>
  <si>
    <t>100M3</t>
  </si>
  <si>
    <t>Ex</t>
  </si>
  <si>
    <t xml:space="preserve"> . . .</t>
  </si>
  <si>
    <t xml:space="preserve"> - - Autres :</t>
  </si>
  <si>
    <t>27 11.29.00.00.0.1 A</t>
  </si>
  <si>
    <t xml:space="preserve"> - - - gaz de raffinerie destiné à être utilisé comme carburant  (11)(26) (30)(32)....................................................</t>
  </si>
  <si>
    <t>1000m3</t>
  </si>
  <si>
    <t>Ex</t>
  </si>
  <si>
    <t>100M3</t>
  </si>
  <si>
    <t>Ex</t>
  </si>
  <si>
    <t>27 11.29.00.00.0.3 S</t>
  </si>
  <si>
    <t xml:space="preserve"> - - - autres, destinés à être utilisés comme carburant  (11) (30)(32)...........................................................................</t>
  </si>
  <si>
    <t>1000m3</t>
  </si>
  <si>
    <t>Ex</t>
  </si>
  <si>
    <t>100M3</t>
  </si>
  <si>
    <t>Ex</t>
  </si>
  <si>
    <t>27 11.29.00.00.0.9 X</t>
  </si>
  <si>
    <t xml:space="preserve"> - - - autres, destinés à d'autres usages (26)(30)(32)............................................................................................</t>
  </si>
  <si>
    <t>1000m3</t>
  </si>
  <si>
    <t>Ex</t>
  </si>
  <si>
    <t>Ex</t>
  </si>
  <si>
    <t>Ex</t>
  </si>
  <si>
    <t xml:space="preserve"> - Vaseline  :</t>
  </si>
  <si>
    <t>27 12.10.10.00.0.0 K</t>
  </si>
  <si>
    <t xml:space="preserve"> - - brute (13) (26)(30)............................................................................................................................................................................</t>
  </si>
  <si>
    <t>Ex</t>
  </si>
  <si>
    <t>100 Kg</t>
  </si>
  <si>
    <t>Ex</t>
  </si>
  <si>
    <t>Ex</t>
  </si>
  <si>
    <t>27 12.10.90.00.0.0 E</t>
  </si>
  <si>
    <t xml:space="preserve"> - - autre (13) (26)(30)........................................................................................................................................................</t>
  </si>
  <si>
    <t xml:space="preserve"> . . .</t>
  </si>
  <si>
    <t xml:space="preserve"> . . .</t>
  </si>
  <si>
    <t xml:space="preserve"> . . .</t>
  </si>
  <si>
    <t>100 Kg</t>
  </si>
  <si>
    <t>Ex</t>
  </si>
  <si>
    <t xml:space="preserve"> . . .</t>
  </si>
  <si>
    <t xml:space="preserve"> - Paraffine contenant en poids moins de 0,75% d'huile :</t>
  </si>
  <si>
    <t>27 12.20.10.00.0.0 E</t>
  </si>
  <si>
    <t xml:space="preserve"> - - Paraffine synthétique de poids moléculaire compris entre 460 et 1560 (13) (26)(30)..........................</t>
  </si>
  <si>
    <t>Ex</t>
  </si>
  <si>
    <t>100 Kg</t>
  </si>
  <si>
    <t>Ex</t>
  </si>
  <si>
    <t>Ex</t>
  </si>
  <si>
    <t>27 12.20.90.00.0.0 L</t>
  </si>
  <si>
    <t xml:space="preserve"> - - Autre (13) (26)(30)..................................................................................................................................................................</t>
  </si>
  <si>
    <t xml:space="preserve"> . . .</t>
  </si>
  <si>
    <t xml:space="preserve"> . . .</t>
  </si>
  <si>
    <t xml:space="preserve"> . . .</t>
  </si>
  <si>
    <t>100 Kg</t>
  </si>
  <si>
    <t>Ex</t>
  </si>
  <si>
    <t xml:space="preserve"> . . .</t>
  </si>
  <si>
    <t xml:space="preserve"> - Paraffine, cire de pétrole et résidus paraffineux, bruts :</t>
  </si>
  <si>
    <t>27 12.90.31.00.0.0 R</t>
  </si>
  <si>
    <t xml:space="preserve"> - - destinés à subir un traitement défini (3) (13) (30)......................................................................................</t>
  </si>
  <si>
    <t xml:space="preserve"> . . .</t>
  </si>
  <si>
    <t>Ex</t>
  </si>
  <si>
    <t xml:space="preserve"> . . .</t>
  </si>
  <si>
    <t xml:space="preserve"> . . .</t>
  </si>
  <si>
    <t xml:space="preserve"> Réelle</t>
  </si>
  <si>
    <t xml:space="preserve"> . . .</t>
  </si>
  <si>
    <t>Ex</t>
  </si>
  <si>
    <t>27 12.90.33.00.0.0 T</t>
  </si>
  <si>
    <t xml:space="preserve"> - - destinés à subir une transformation chimique par un traitement autre </t>
  </si>
  <si>
    <t xml:space="preserve">     que ceux définis pour la sous-position 27 12 90 31 (3) (13) (30).............................................................…</t>
  </si>
  <si>
    <t xml:space="preserve"> . . .</t>
  </si>
  <si>
    <t>Ex</t>
  </si>
  <si>
    <t xml:space="preserve"> . . .</t>
  </si>
  <si>
    <t xml:space="preserve"> . . .</t>
  </si>
  <si>
    <t xml:space="preserve"> Réelle</t>
  </si>
  <si>
    <t xml:space="preserve"> . . .</t>
  </si>
  <si>
    <t>Ex</t>
  </si>
  <si>
    <t xml:space="preserve">27 12.90.39.00.0.0 W </t>
  </si>
  <si>
    <t xml:space="preserve"> - - destinés à d'autres usages (26):</t>
  </si>
  <si>
    <t>100 Kg</t>
  </si>
  <si>
    <t>Ex</t>
  </si>
  <si>
    <t xml:space="preserve"> - Autres :</t>
  </si>
  <si>
    <t xml:space="preserve"> - - mélange de 1-alcènes contenant en poids 80% ou plus de 1-alcène dont  </t>
  </si>
  <si>
    <t xml:space="preserve">    la chaine est  &gt; ou = à 24 &amp; &lt; à 28 atomes de carbone :</t>
  </si>
  <si>
    <t>27 12.90.91.00.0.1 R</t>
  </si>
  <si>
    <t xml:space="preserve"> - - - cires de pétrole ou de minéraux bitumineux (13) (26)(30)......................................................................................</t>
  </si>
  <si>
    <t>Ex</t>
  </si>
  <si>
    <t>100 Kg</t>
  </si>
  <si>
    <t>Ex</t>
  </si>
  <si>
    <t>Ex</t>
  </si>
  <si>
    <t>27 12.90.91.00.0.9 N</t>
  </si>
  <si>
    <t xml:space="preserve"> - - - paraffine et résidus paraffineux (13) (26)(30)..........................................................................................…</t>
  </si>
  <si>
    <t>Ex</t>
  </si>
  <si>
    <t>100 Kg</t>
  </si>
  <si>
    <t>Ex</t>
  </si>
  <si>
    <t>Ex</t>
  </si>
  <si>
    <t xml:space="preserve"> - - autres :</t>
  </si>
  <si>
    <t xml:space="preserve"> - - - mélange de 1-alcènes contenant en poids 80% ou plus de 1-alcène d'une</t>
  </si>
  <si>
    <t xml:space="preserve">         longueur de chaine de 20 ou 22 atomes de carbone  :</t>
  </si>
  <si>
    <t>27 12.90.99.10.0.1 Z</t>
  </si>
  <si>
    <t xml:space="preserve"> - - - - cires de pétrole ou de minéraux bitumineux (13) (26)(30) .............................................................</t>
  </si>
  <si>
    <t>. . .</t>
  </si>
  <si>
    <t>. . .</t>
  </si>
  <si>
    <t>. . .</t>
  </si>
  <si>
    <t>100 Kg</t>
  </si>
  <si>
    <t>Ex</t>
  </si>
  <si>
    <t>. . .</t>
  </si>
  <si>
    <t>27 12.90.99.10.0.9 J</t>
  </si>
  <si>
    <t xml:space="preserve"> - - - - paraffine et résidus paraffineux (13)(26) (30)  ..................................................................................</t>
  </si>
  <si>
    <t>. . .</t>
  </si>
  <si>
    <t>. . .</t>
  </si>
  <si>
    <t>. . .</t>
  </si>
  <si>
    <t>100 Kg</t>
  </si>
  <si>
    <t>Ex</t>
  </si>
  <si>
    <t>. . .</t>
  </si>
  <si>
    <t xml:space="preserve"> - - - autres :</t>
  </si>
  <si>
    <t>27 12.90.99.90.0.1 T</t>
  </si>
  <si>
    <t xml:space="preserve"> - - - - cires de pétrole ou de minéraux bitumineux (13) (26)(30)....................................................................…</t>
  </si>
  <si>
    <t>100 Kg</t>
  </si>
  <si>
    <t>Ex</t>
  </si>
  <si>
    <t>27 12.90.99.90.0.9 L</t>
  </si>
  <si>
    <t xml:space="preserve"> - - - - paraffine et résidus paraffineux (13) (26)(30)..................................................................................................</t>
  </si>
  <si>
    <t xml:space="preserve"> . . .</t>
  </si>
  <si>
    <t xml:space="preserve"> . . .</t>
  </si>
  <si>
    <t xml:space="preserve"> . . .</t>
  </si>
  <si>
    <t>100 Kg</t>
  </si>
  <si>
    <t>Ex</t>
  </si>
  <si>
    <t xml:space="preserve"> . . .</t>
  </si>
  <si>
    <t xml:space="preserve"> Mélanges bitumineux à base d'asphalte ou de bitume naturels, de bitume </t>
  </si>
  <si>
    <t>de pétrole, de goudron minéral ou de brai de goudron minéral (extrait) :</t>
  </si>
  <si>
    <t>27 15.00.00.00.0.1 T</t>
  </si>
  <si>
    <t xml:space="preserve"> - Bitumes fluxés (cut-backs), émulsions de bitume de pétrole et similaires (13)(26)(30)....…………………..............</t>
  </si>
  <si>
    <t>Ex</t>
  </si>
  <si>
    <t xml:space="preserve"> 100 Kg</t>
  </si>
  <si>
    <t>Ex</t>
  </si>
  <si>
    <t>Ex</t>
  </si>
  <si>
    <t>. . .</t>
  </si>
  <si>
    <t>27 15.00.00.00.0.9 L</t>
  </si>
  <si>
    <t xml:space="preserve"> - Autres (13)(26)..............……………........................................................................................…</t>
  </si>
  <si>
    <t>Ex</t>
  </si>
  <si>
    <t xml:space="preserve"> 100 Kg</t>
  </si>
  <si>
    <t>Ex</t>
  </si>
  <si>
    <t>Ex</t>
  </si>
  <si>
    <t>. . .</t>
  </si>
  <si>
    <t>TVO</t>
  </si>
  <si>
    <t>Hydrocarbures acycliques</t>
  </si>
  <si>
    <t xml:space="preserve"> - saturés</t>
  </si>
  <si>
    <t>29 01.10.00.10.0.0 A</t>
  </si>
  <si>
    <t xml:space="preserve"> - - destinés à être utilisés comme carburant ou comme combustible (13)(26)(32)……………….</t>
  </si>
  <si>
    <t>. . .</t>
  </si>
  <si>
    <t>Hl</t>
  </si>
  <si>
    <t>. . .</t>
  </si>
  <si>
    <t>29 01.10.00.90.0.0 F</t>
  </si>
  <si>
    <t xml:space="preserve"> - - destinés à d'autres usages (32)………………………………………………………………………</t>
  </si>
  <si>
    <t>. . .</t>
  </si>
  <si>
    <t>Ex</t>
  </si>
  <si>
    <t>Ex</t>
  </si>
  <si>
    <t>Ex</t>
  </si>
  <si>
    <t>. . .</t>
  </si>
  <si>
    <t xml:space="preserve"> - non saturés</t>
  </si>
  <si>
    <t xml:space="preserve"> - - Ethylène</t>
  </si>
  <si>
    <t>29 01.21.00.10.0.0 Q</t>
  </si>
  <si>
    <t xml:space="preserve"> - - - destinés à être utilisés comme carburant ou comme combustible (13)(26)………………</t>
  </si>
  <si>
    <t>. . .</t>
  </si>
  <si>
    <t>Ex</t>
  </si>
  <si>
    <t>Hl</t>
  </si>
  <si>
    <t>Ex</t>
  </si>
  <si>
    <t>. . .</t>
  </si>
  <si>
    <t>29 01.21.00.90.0.0 Y</t>
  </si>
  <si>
    <t xml:space="preserve"> - - - destinés à d'autres usages …………………………………………………………………….</t>
  </si>
  <si>
    <t>. . .</t>
  </si>
  <si>
    <t>Ex</t>
  </si>
  <si>
    <t>Ex</t>
  </si>
  <si>
    <t>Ex</t>
  </si>
  <si>
    <t>. . .</t>
  </si>
  <si>
    <t>29 01.22.00.00.0.0 D</t>
  </si>
  <si>
    <t xml:space="preserve"> - - Propène (propylène)(13)(26)……………..</t>
  </si>
  <si>
    <t>. . .</t>
  </si>
  <si>
    <t>Ex</t>
  </si>
  <si>
    <t>Hl</t>
  </si>
  <si>
    <t>Ex</t>
  </si>
  <si>
    <t>. . .</t>
  </si>
  <si>
    <t xml:space="preserve"> - - Butène (butylène et ses isomères)</t>
  </si>
  <si>
    <t>29 01.23.10.00.0.0 M</t>
  </si>
  <si>
    <t xml:space="preserve"> - - - But-1-ène et but-2-ène (13)(26)…………………………..</t>
  </si>
  <si>
    <t>. . .</t>
  </si>
  <si>
    <t>Ex</t>
  </si>
  <si>
    <t>Hl</t>
  </si>
  <si>
    <t>Ex</t>
  </si>
  <si>
    <t>. . .</t>
  </si>
  <si>
    <t>29 01.23.90.00.0.0 X</t>
  </si>
  <si>
    <t xml:space="preserve"> - - - Autres (13)(26)…………………………..</t>
  </si>
  <si>
    <t>. . .</t>
  </si>
  <si>
    <t>Ex</t>
  </si>
  <si>
    <t>Hl</t>
  </si>
  <si>
    <t>Ex</t>
  </si>
  <si>
    <t>. . .</t>
  </si>
  <si>
    <t xml:space="preserve"> - - Buta-1, 3-diène et isoprène : </t>
  </si>
  <si>
    <t>29 01.24.10.00.0.0 A</t>
  </si>
  <si>
    <t xml:space="preserve"> - - - Buta-1, 3 diène (13) (26)…………………………..</t>
  </si>
  <si>
    <t>. . .</t>
  </si>
  <si>
    <t>Ex</t>
  </si>
  <si>
    <t>Hl</t>
  </si>
  <si>
    <t>Ex</t>
  </si>
  <si>
    <t>. . .</t>
  </si>
  <si>
    <t>29 01.24.90.00.0.0 V</t>
  </si>
  <si>
    <t xml:space="preserve"> - - - Isoprène (13)(26)…………………………..</t>
  </si>
  <si>
    <t>. . .</t>
  </si>
  <si>
    <t>Ex</t>
  </si>
  <si>
    <t>Hl</t>
  </si>
  <si>
    <t>Ex</t>
  </si>
  <si>
    <t>. . .</t>
  </si>
  <si>
    <t>29 01.29.00.00.0.0 W</t>
  </si>
  <si>
    <t xml:space="preserve"> - - Autres (13)(26)……………</t>
  </si>
  <si>
    <t>. . .</t>
  </si>
  <si>
    <t>Ex</t>
  </si>
  <si>
    <t>Hl</t>
  </si>
  <si>
    <t>Ex</t>
  </si>
  <si>
    <t>. . .</t>
  </si>
  <si>
    <t>Hydrocarbures cycliques</t>
  </si>
  <si>
    <t xml:space="preserve"> - Cyclaniques, cyclèniques ou cycloterpéniques : </t>
  </si>
  <si>
    <t xml:space="preserve"> - - Cyclohexane</t>
  </si>
  <si>
    <t>29 02.11.00.00.0.1 K</t>
  </si>
  <si>
    <t xml:space="preserve"> - - - destinés à être utilisés comme carburant ou comme combustible (13)(26)……………..</t>
  </si>
  <si>
    <t>. . .</t>
  </si>
  <si>
    <t>Ex</t>
  </si>
  <si>
    <t>Hl</t>
  </si>
  <si>
    <t>Ex</t>
  </si>
  <si>
    <t>. . .</t>
  </si>
  <si>
    <t>29 02.11.00.00.0.9 G</t>
  </si>
  <si>
    <t xml:space="preserve"> - - - destinés à d'autres usages ………………………………………………………………………</t>
  </si>
  <si>
    <t>. . .</t>
  </si>
  <si>
    <t>Ex</t>
  </si>
  <si>
    <t>Ex</t>
  </si>
  <si>
    <t>Ex</t>
  </si>
  <si>
    <t>. . .</t>
  </si>
  <si>
    <t xml:space="preserve"> - - Autres</t>
  </si>
  <si>
    <t xml:space="preserve"> - - - Autres : </t>
  </si>
  <si>
    <t>29 02.19.80.00.0.1 V</t>
  </si>
  <si>
    <t xml:space="preserve"> - - - - destiné à être utilisé comme carburant ou combustible (13)(26) …………………………</t>
  </si>
  <si>
    <t>. . .</t>
  </si>
  <si>
    <t>Ex</t>
  </si>
  <si>
    <t>Hl</t>
  </si>
  <si>
    <t>Ex</t>
  </si>
  <si>
    <t>. . .</t>
  </si>
  <si>
    <t>29 02.19.80.00.0.9 Z</t>
  </si>
  <si>
    <t xml:space="preserve"> - - - - destiné à d'autres usages ……………………………………………………………..</t>
  </si>
  <si>
    <t>. . .</t>
  </si>
  <si>
    <t>Ex</t>
  </si>
  <si>
    <t>Ex</t>
  </si>
  <si>
    <t>Ex</t>
  </si>
  <si>
    <t>. . .</t>
  </si>
  <si>
    <t xml:space="preserve"> - Benzène :  </t>
  </si>
  <si>
    <t>29 02.20.00.00.0.1 G</t>
  </si>
  <si>
    <t xml:space="preserve"> - - destinés à être utilisés comme carburant ou comme combustible (13)(32)(26)……………….</t>
  </si>
  <si>
    <t>. . .</t>
  </si>
  <si>
    <t>Ex</t>
  </si>
  <si>
    <t>Hl</t>
  </si>
  <si>
    <t>Ex</t>
  </si>
  <si>
    <t>. . .</t>
  </si>
  <si>
    <t>29 02.20.00.00.0.9 V</t>
  </si>
  <si>
    <t xml:space="preserve"> - - destinés à d'autres usages (32)………………………………………………………………………..</t>
  </si>
  <si>
    <t>. . .</t>
  </si>
  <si>
    <t>Ex</t>
  </si>
  <si>
    <t>Ex</t>
  </si>
  <si>
    <t>Ex</t>
  </si>
  <si>
    <t>. . .</t>
  </si>
  <si>
    <t xml:space="preserve"> - Toluène  : </t>
  </si>
  <si>
    <t>29 02.30.00.00.0.1Q</t>
  </si>
  <si>
    <t xml:space="preserve"> - - destinés à être utilisés comme carburant ou comme combustible (13) (32)(26)……………..</t>
  </si>
  <si>
    <t>. . .</t>
  </si>
  <si>
    <t>Ex</t>
  </si>
  <si>
    <t>Hl</t>
  </si>
  <si>
    <t>Ex</t>
  </si>
  <si>
    <t>. . .</t>
  </si>
  <si>
    <t>29 02.30.00.00.0.9 R</t>
  </si>
  <si>
    <t xml:space="preserve"> - - destinés à d'autres usages (32)………………………………………………………………………..</t>
  </si>
  <si>
    <t>. . .</t>
  </si>
  <si>
    <t>Ex</t>
  </si>
  <si>
    <t>Ex</t>
  </si>
  <si>
    <t>Ex</t>
  </si>
  <si>
    <t>. . .</t>
  </si>
  <si>
    <t xml:space="preserve"> - Xylène  : </t>
  </si>
  <si>
    <t>29 02.41.00.00.0.0 Y</t>
  </si>
  <si>
    <t xml:space="preserve"> - - o-Xylène (13) (26)(32)…………………………………………………………………………………………………</t>
  </si>
  <si>
    <t>. . .</t>
  </si>
  <si>
    <t>Ex</t>
  </si>
  <si>
    <t>Ex</t>
  </si>
  <si>
    <t>. . .</t>
  </si>
  <si>
    <t>29 02.42.00.00.0.0 Z</t>
  </si>
  <si>
    <t xml:space="preserve"> - - m-Xylène (13)(26) (32)………………………………………………………………………………………………..</t>
  </si>
  <si>
    <t>. . .</t>
  </si>
  <si>
    <t>Ex</t>
  </si>
  <si>
    <t>Ex</t>
  </si>
  <si>
    <t>. . .</t>
  </si>
  <si>
    <t>29 02.43.00.00.0.0 R</t>
  </si>
  <si>
    <t xml:space="preserve"> - - p-Xylène (13)(26) (32)………………………………………………………………………………………………..</t>
  </si>
  <si>
    <t>. . .</t>
  </si>
  <si>
    <t>Ex</t>
  </si>
  <si>
    <t>Ex</t>
  </si>
  <si>
    <t>. . .</t>
  </si>
  <si>
    <t xml:space="preserve"> - - isomères du xylène en mélange : </t>
  </si>
  <si>
    <t>29 02.44.00.00.0.1 E</t>
  </si>
  <si>
    <t xml:space="preserve"> - - - destinés à être utilisés comme carburant ou comme combustible (13)(26) (32)……………..</t>
  </si>
  <si>
    <t>. . .</t>
  </si>
  <si>
    <t>Ex</t>
  </si>
  <si>
    <t>Hl</t>
  </si>
  <si>
    <t>Ex</t>
  </si>
  <si>
    <t>. . .</t>
  </si>
  <si>
    <t>29 02.44.00.00.0.9 Q</t>
  </si>
  <si>
    <t xml:space="preserve"> - - - destinés à d'autres usages (32)………………………………………………………………………</t>
  </si>
  <si>
    <t>. . .</t>
  </si>
  <si>
    <t>Ex</t>
  </si>
  <si>
    <t>Ex</t>
  </si>
  <si>
    <t>Ex</t>
  </si>
  <si>
    <t>.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</si>
  <si>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</si>
  <si>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</si>
  <si>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</si>
  <si>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</si>
  <si>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</si>
  <si>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</si>
  <si>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</si>
  <si>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</si>
  <si>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</si>
  <si>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</si>
  <si>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t>
  </si>
  <si>
    <t xml:space="preserve"> matières(26)(30) ………………………………………………………………………………………………………...…</t>
  </si>
  <si>
    <t xml:space="preserve"> 100 Kg</t>
  </si>
  <si>
    <t>Ex</t>
  </si>
  <si>
    <t>. . .</t>
  </si>
  <si>
    <t xml:space="preserve"> - - autres : </t>
  </si>
  <si>
    <t xml:space="preserve"> - - - contenant en poids 70 % ou plus d'huiles de pétrole ou de minéraux bitumineux non</t>
  </si>
  <si>
    <t>A/B/D</t>
  </si>
  <si>
    <t xml:space="preserve">considérés comme constituants de base </t>
  </si>
  <si>
    <t>34 03.19.10.00.0.1 C</t>
  </si>
  <si>
    <t>- - - - - énumérées à l'annexe I du décret du 17 juin 1999 modifié pris pour l'application de la taxe générale sur les activités polluantes (26)(28)(28 bis) (28 quater)</t>
  </si>
  <si>
    <t xml:space="preserve"> . . .</t>
  </si>
  <si>
    <t xml:space="preserve"> . . .</t>
  </si>
  <si>
    <t>O2</t>
  </si>
  <si>
    <t xml:space="preserve"> Réelle</t>
  </si>
  <si>
    <t>Ex</t>
  </si>
  <si>
    <t>. . .</t>
  </si>
  <si>
    <t>TGAP</t>
  </si>
  <si>
    <t>34 03.19.10.00.0.9 M</t>
  </si>
  <si>
    <t>- - - - autres(26)……………………………………………………………………………………………………………………</t>
  </si>
  <si>
    <t xml:space="preserve"> . . .</t>
  </si>
  <si>
    <t xml:space="preserve"> . . .</t>
  </si>
  <si>
    <t>O2</t>
  </si>
  <si>
    <t xml:space="preserve"> Réelle</t>
  </si>
  <si>
    <t>Ex</t>
  </si>
  <si>
    <t>. . .</t>
  </si>
  <si>
    <t xml:space="preserve"> - - - autres : </t>
  </si>
  <si>
    <t>A/B/C</t>
  </si>
  <si>
    <t xml:space="preserve"> - - - -  Préparations pour la lubrification des machines, appareils et véhicules </t>
  </si>
  <si>
    <t>34 03.19.91.00.0.1 T</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</si>
  <si>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</si>
  <si>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</si>
  <si>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</si>
  <si>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</si>
  <si>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</si>
  <si>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</si>
  <si>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</si>
  <si>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</si>
  <si>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34 03.19.91.00.0.9 L</t>
  </si>
  <si>
    <t>- - - - - autres (26)(30)……………………………………………………………………………………</t>
  </si>
  <si>
    <t xml:space="preserve"> . . .</t>
  </si>
  <si>
    <t xml:space="preserve"> . . .</t>
  </si>
  <si>
    <t>O2</t>
  </si>
  <si>
    <t xml:space="preserve"> 100 Kg</t>
  </si>
  <si>
    <t>Ex</t>
  </si>
  <si>
    <t>. . .</t>
  </si>
  <si>
    <t>A/B/C</t>
  </si>
  <si>
    <t xml:space="preserve"> - - - -  autres </t>
  </si>
  <si>
    <t>34 03.19.99.00.0.1 P</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</si>
  <si>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</si>
  <si>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</si>
  <si>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</si>
  <si>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</si>
  <si>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</si>
  <si>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</si>
  <si>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</si>
  <si>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</si>
  <si>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</si>
  <si>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O2</t>
  </si>
  <si>
    <t xml:space="preserve"> - Préparations antidétonantes : </t>
  </si>
  <si>
    <t xml:space="preserve"> - - à base de composés du plomb</t>
  </si>
  <si>
    <t>38 11.11.10.00.0.0 M</t>
  </si>
  <si>
    <t xml:space="preserve"> - - - à base de plomb tétraéthyle (13)(26)………………………………………………………………………</t>
  </si>
  <si>
    <t>O2</t>
  </si>
  <si>
    <t xml:space="preserve"> Réelle</t>
  </si>
  <si>
    <t>Hl</t>
  </si>
  <si>
    <t>. . .</t>
  </si>
  <si>
    <t>38 11.11.90.00.0.0 X</t>
  </si>
  <si>
    <t xml:space="preserve"> - - - autres (13)(26)………………………………………………………………………………………………………</t>
  </si>
  <si>
    <t>O2</t>
  </si>
  <si>
    <t xml:space="preserve"> Réelle</t>
  </si>
  <si>
    <t>Hl</t>
  </si>
  <si>
    <t>. . .</t>
  </si>
  <si>
    <t>38 11.19.00.00.0.0 A</t>
  </si>
  <si>
    <t xml:space="preserve"> - - autres (13(26))…………………………………………………………………………………………………………</t>
  </si>
  <si>
    <t>O2</t>
  </si>
  <si>
    <t xml:space="preserve"> Réelle</t>
  </si>
  <si>
    <t>Hl</t>
  </si>
  <si>
    <t>. . .</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</si>
  <si>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</si>
  <si>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</si>
  <si>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</si>
  <si>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</si>
  <si>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</si>
  <si>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 - - - - énumérées à l'annexe I du décret du 17 juin 1999 modifié pris pour l'application de la taxe générale sur les activités polluantes (26)(28)(28 bis) (28 ter)(30)</t>
  </si>
  <si>
    <t xml:space="preserve"> 100 Kg</t>
  </si>
  <si>
    <t>Ex</t>
  </si>
  <si>
    <t>. . .</t>
  </si>
  <si>
    <t>A/B/C</t>
  </si>
  <si>
    <t>38 11.21.00.10.0.9 C</t>
  </si>
  <si>
    <t>- - - - autres (26)(30)……………………………………………………………………………………</t>
  </si>
  <si>
    <t xml:space="preserve"> 100 Kg</t>
  </si>
  <si>
    <t>Ex</t>
  </si>
  <si>
    <t>. . .</t>
  </si>
  <si>
    <t xml:space="preserve"> - - - Autres </t>
  </si>
  <si>
    <t>38 11.21.00.90.0.1 Q</t>
  </si>
  <si>
    <t>- - - - - énumérées à l'annexe I du décret du 17 juin 1999 modifié pris pour l'application de la taxe générale sur les activités polluantes (26)(28)(28 bis) (28 ter)(30)</t>
  </si>
  <si>
    <t xml:space="preserve"> 100 Kg</t>
  </si>
  <si>
    <t>Ex</t>
  </si>
  <si>
    <t>. . .</t>
  </si>
  <si>
    <t>A/B/C</t>
  </si>
  <si>
    <t>38 11.21.00.90.0.9 R</t>
  </si>
  <si>
    <t>- - - - autres (26)(30)……………………………………………………………………………………</t>
  </si>
  <si>
    <t xml:space="preserve"> 100 Kg</t>
  </si>
  <si>
    <t>Ex</t>
  </si>
  <si>
    <t>. . .</t>
  </si>
  <si>
    <t xml:space="preserve"> - autres</t>
  </si>
  <si>
    <t>38 11.90.00.00.0.1 N</t>
  </si>
  <si>
    <t xml:space="preserve"> - - - destinés à être incorporés dans des huiles minérales utilisées autrement que comme</t>
  </si>
  <si>
    <t xml:space="preserve">          carburant , combustible ou lubrifiant…………………………………………………………………………………………………………….</t>
  </si>
  <si>
    <t xml:space="preserve"> . . .</t>
  </si>
  <si>
    <t xml:space="preserve"> . . .</t>
  </si>
  <si>
    <t xml:space="preserve"> . . .</t>
  </si>
  <si>
    <t xml:space="preserve"> Réelle</t>
  </si>
  <si>
    <t xml:space="preserve"> . . .</t>
  </si>
  <si>
    <t>Ex</t>
  </si>
  <si>
    <t>. . .</t>
  </si>
  <si>
    <t>38 11.90.00.00.0.2 V</t>
  </si>
  <si>
    <t xml:space="preserve"> - - - destinés à être incorporés dans les fiouls lourds (26)………………………………………………</t>
  </si>
  <si>
    <t xml:space="preserve"> . . .</t>
  </si>
  <si>
    <t xml:space="preserve"> Réelle</t>
  </si>
  <si>
    <t xml:space="preserve"> 100 Kg</t>
  </si>
  <si>
    <t>. . .</t>
  </si>
  <si>
    <t>38 11.90.00.00.0.3 D</t>
  </si>
  <si>
    <t xml:space="preserve"> - - - destinés à être incorporés dans du fioul domestique ou toute autre huile minérale </t>
  </si>
  <si>
    <t xml:space="preserve">         dont le taux de taxe intérieure de consommation est celui du fioul domestique(26)………..</t>
  </si>
  <si>
    <t xml:space="preserve"> . . .</t>
  </si>
  <si>
    <t xml:space="preserve"> C (18)</t>
  </si>
  <si>
    <t xml:space="preserve"> . . .</t>
  </si>
  <si>
    <t xml:space="preserve"> Réelle</t>
  </si>
  <si>
    <t>Hl</t>
  </si>
  <si>
    <t>. . .</t>
  </si>
  <si>
    <t>38 11.90.00.00.0.4 Y</t>
  </si>
  <si>
    <t xml:space="preserve"> - - - destinés à être incorporés dans du gazole ou toute autre huile minérale dont</t>
  </si>
  <si>
    <t xml:space="preserve">         le taux de taxe intérieure de consommation est celui du gazole(26)…………………………</t>
  </si>
  <si>
    <t xml:space="preserve"> . . .</t>
  </si>
  <si>
    <t xml:space="preserve"> C (18)</t>
  </si>
  <si>
    <t xml:space="preserve"> O2 (21)</t>
  </si>
  <si>
    <t xml:space="preserve"> Réelle</t>
  </si>
  <si>
    <t>Hl</t>
  </si>
  <si>
    <t>. . .</t>
  </si>
  <si>
    <t>38 11.90.00.00.0.5 M</t>
  </si>
  <si>
    <t xml:space="preserve"> - - - à base de potassium, améliorant les caractéristiques anti-récession de soupape (ARS)(26)</t>
  </si>
  <si>
    <t xml:space="preserve"> . . .</t>
  </si>
  <si>
    <t xml:space="preserve"> C (18)</t>
  </si>
  <si>
    <t xml:space="preserve"> O2 (21)</t>
  </si>
  <si>
    <t xml:space="preserve"> Réelle</t>
  </si>
  <si>
    <t>Hl</t>
  </si>
  <si>
    <t>. . .</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</si>
  <si>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</si>
  <si>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</si>
  <si>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</si>
  <si>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</si>
  <si>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 xml:space="preserve">           autre Etat membre de l'espace économique européen (24)(26) …………………………….</t>
  </si>
  <si>
    <t xml:space="preserve"> . . .</t>
  </si>
  <si>
    <t xml:space="preserve"> C (18)</t>
  </si>
  <si>
    <t xml:space="preserve"> O2 (21)</t>
  </si>
  <si>
    <t xml:space="preserve"> Réelle</t>
  </si>
  <si>
    <t>Hl</t>
  </si>
  <si>
    <t>. . .</t>
  </si>
  <si>
    <t>38 11.90.00.00.0.9 K</t>
  </si>
  <si>
    <t xml:space="preserve"> - - - destinés à être incorporés dans les supercarburants(26)………………………………………………………………………………..</t>
  </si>
  <si>
    <t xml:space="preserve"> . . .</t>
  </si>
  <si>
    <t xml:space="preserve"> Réelle</t>
  </si>
  <si>
    <t>Hl</t>
  </si>
  <si>
    <t>. . .</t>
  </si>
  <si>
    <t xml:space="preserve">Alkylbenzènes en mélanges et alkylnaphtalènes en mélanges, autres que ceux </t>
  </si>
  <si>
    <t xml:space="preserve">des n° 2707 ou 2902 : </t>
  </si>
  <si>
    <t>38 17 00.50.00.0.0 Y</t>
  </si>
  <si>
    <t xml:space="preserve"> - Alkylbenzènes linéaire (13)(26)…………………………………………………………………………………..</t>
  </si>
  <si>
    <t>. . .</t>
  </si>
  <si>
    <t>Hl</t>
  </si>
  <si>
    <t>. . .</t>
  </si>
  <si>
    <t xml:space="preserve"> - Autres </t>
  </si>
  <si>
    <t>38 17 00.80.00.0.1 R</t>
  </si>
  <si>
    <t>- - énumérées à l'annexe I du décret du 17 juin 1999 modifié pris pour l'application de la taxe générale sur les activités polluantes (26)(28)(28 bis) (28 quater)</t>
  </si>
  <si>
    <t>. . .</t>
  </si>
  <si>
    <t>Hl</t>
  </si>
  <si>
    <t>Ex</t>
  </si>
  <si>
    <t>. . .</t>
  </si>
  <si>
    <t>TGAP</t>
  </si>
  <si>
    <t>A/B/D</t>
  </si>
  <si>
    <t>38 17 00.80.00.0.9 N</t>
  </si>
  <si>
    <t>- - autres(26)……………………………………………………………………………………</t>
  </si>
  <si>
    <t>. . .</t>
  </si>
  <si>
    <t>Hl</t>
  </si>
  <si>
    <t>. . .</t>
  </si>
  <si>
    <t xml:space="preserve"> - Autres</t>
  </si>
  <si>
    <t>38 24.90.99.99.0.1 W</t>
  </si>
  <si>
    <t xml:space="preserve"> - - Emulsions d'eau dans du gazole stabilisée par des agents tensio-actifs, dont la teneur en eau est égale ou supérieure à 7% en volume sans dépasser 20 % en volume,  sous condition d'emploi (23) (30)……………………………………………………………………………….</t>
  </si>
  <si>
    <t>. . .</t>
  </si>
  <si>
    <t>Hl</t>
  </si>
  <si>
    <t>. . .</t>
  </si>
  <si>
    <t>38 24.90.99.99.0.2 E</t>
  </si>
  <si>
    <t xml:space="preserve"> - - Emulsions d'eau dans du gazole stabilisée par des agents tensio-actifs, dont la teneur en eau est égale ou supérieure à 7% en volume sans dépasser 20 % en volume, autre,  destinée à être utilisée comme carburant (23) (30).……………………………………….……</t>
  </si>
  <si>
    <t>. . .</t>
  </si>
  <si>
    <t>Hl</t>
  </si>
  <si>
    <t>. . .</t>
  </si>
  <si>
    <t>38 24.90.99.99.0.3 N</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</si>
  <si>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</si>
  <si>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 . . .</t>
  </si>
  <si>
    <t xml:space="preserve"> C (18)</t>
  </si>
  <si>
    <t xml:space="preserve"> O2 (21)</t>
  </si>
  <si>
    <t>Hl</t>
  </si>
  <si>
    <t>Ex</t>
  </si>
  <si>
    <t>. . .</t>
  </si>
  <si>
    <t xml:space="preserve">Designation des </t>
  </si>
  <si>
    <t>Nomenclature de</t>
  </si>
  <si>
    <t>Unité de</t>
  </si>
  <si>
    <t xml:space="preserve">     Taux de TVA</t>
  </si>
  <si>
    <t>produits</t>
  </si>
  <si>
    <t>dédouanement</t>
  </si>
  <si>
    <t>perception</t>
  </si>
  <si>
    <t>Métropole</t>
  </si>
  <si>
    <t>Corse</t>
  </si>
  <si>
    <t>Essence d'aviation autre</t>
  </si>
  <si>
    <t>27 10 11 31 00 0 9 F</t>
  </si>
  <si>
    <t>E/hl</t>
  </si>
  <si>
    <t>Carburéacteurs</t>
  </si>
  <si>
    <t>27 10 11 70 000 1 A</t>
  </si>
  <si>
    <t>E/hl</t>
  </si>
  <si>
    <t>27 10 19 21 000 1 M</t>
  </si>
  <si>
    <t xml:space="preserve">Super sans plomb d'une teneur en </t>
  </si>
  <si>
    <t>27 10 11 41 000 1 J</t>
  </si>
  <si>
    <t>plomb n'excédant pas 0,005 g par l</t>
  </si>
  <si>
    <t>27 10 11 45 000 5 V</t>
  </si>
  <si>
    <t>E/hL</t>
  </si>
  <si>
    <t>et dont l'indice d'octane est &lt; à 98</t>
  </si>
  <si>
    <t xml:space="preserve">Super sans plomb d'une teneur en </t>
  </si>
  <si>
    <t>27 10 11 49 000 5 M</t>
  </si>
  <si>
    <t>plomb n'excédant pas 0,005 g par l</t>
  </si>
  <si>
    <t>E/hL</t>
  </si>
  <si>
    <t>et dont l'indice d'octane est de 98 ou plus</t>
  </si>
  <si>
    <t xml:space="preserve">Super sans plomb d'une teneur en </t>
  </si>
  <si>
    <t>27 10 11 45 000 1 H</t>
  </si>
  <si>
    <t>plomb n'excédant pas 0,005 g par l</t>
  </si>
  <si>
    <t>27 10 11 45 000 3 E</t>
  </si>
  <si>
    <t>E/hL</t>
  </si>
  <si>
    <t xml:space="preserve">contenant un additif </t>
  </si>
  <si>
    <t>27 10 11 49 000 1 N</t>
  </si>
  <si>
    <t>27 10 11 49 000 3 D</t>
  </si>
  <si>
    <t>Gazole soufre &lt;0,05%</t>
  </si>
  <si>
    <t>27 10 19 41 000 5 N</t>
  </si>
  <si>
    <t>E/hl</t>
  </si>
  <si>
    <t>27 10 19 41 000 9 M</t>
  </si>
  <si>
    <t xml:space="preserve">Gazole soufre&gt;0,05% </t>
  </si>
  <si>
    <t>27 10 19 45 000 9 Q</t>
  </si>
  <si>
    <t>E/hl</t>
  </si>
  <si>
    <t>mais &lt; ou = à 0,2 %</t>
  </si>
  <si>
    <t xml:space="preserve">Gazole soufre&gt;0,2% </t>
  </si>
  <si>
    <t>27 10 19 49 000 9 A</t>
  </si>
  <si>
    <t>E/Hl</t>
  </si>
  <si>
    <t>Fioul oil</t>
  </si>
  <si>
    <t>27 10 19 61 000 1 P</t>
  </si>
  <si>
    <t>E/hl</t>
  </si>
  <si>
    <t>27 10 19 63 000 1 V</t>
  </si>
  <si>
    <t>27 10 19 65 000 1 B</t>
  </si>
  <si>
    <t>27 10 19 69 000 1 J</t>
  </si>
  <si>
    <t>Fioul lourd BTS</t>
  </si>
  <si>
    <t>27 10 19 61 000 5 R</t>
  </si>
  <si>
    <t>E/100 Kg</t>
  </si>
  <si>
    <t>27 10 19 63 000 5 T</t>
  </si>
  <si>
    <t>Fiouls lourds HTS</t>
  </si>
  <si>
    <t>27 10 19 65 000 5 X</t>
  </si>
  <si>
    <t>E/100 Kg</t>
  </si>
  <si>
    <t>27 10 19 69 000 5 W</t>
  </si>
  <si>
    <t>gaz de pétrole liquéfié</t>
  </si>
  <si>
    <t>propane destiné à être utilisé</t>
  </si>
  <si>
    <t>27 11.12.97.00.0.2 E</t>
  </si>
  <si>
    <t>E/100 Kg</t>
  </si>
  <si>
    <t>comme carburant</t>
  </si>
  <si>
    <t>gaz de pétrole liquéfié</t>
  </si>
  <si>
    <t>butane destiné à être utilisé</t>
  </si>
  <si>
    <t>27 11.13.97.00.0.2 T</t>
  </si>
  <si>
    <t>E/100 Kg</t>
  </si>
  <si>
    <t>comme carburant</t>
  </si>
  <si>
    <t>autres gaz de pétrole liquéfiés</t>
  </si>
  <si>
    <t xml:space="preserve"> destinés à être utilisé comme carburant</t>
  </si>
  <si>
    <t>27 11.19.00.00.0.2 H</t>
  </si>
  <si>
    <t>E/100 Kg</t>
  </si>
  <si>
    <t>27 10 19 81 000 1 Y</t>
  </si>
  <si>
    <t>27 10 19 81 000 9 P</t>
  </si>
  <si>
    <t>Lubrifiants et</t>
  </si>
  <si>
    <t>27 10 19 83 000 1 G</t>
  </si>
  <si>
    <t>préparations lubrifiantes</t>
  </si>
  <si>
    <t>27 10 19 83 000 9 V</t>
  </si>
  <si>
    <t>E/100 Kg</t>
  </si>
  <si>
    <t>27 10 19 85 000 0 T</t>
  </si>
  <si>
    <t>27 10 19 87 000 1 C</t>
  </si>
  <si>
    <t>27 10 19 87 000 9 M</t>
  </si>
  <si>
    <t>27 10 19 91 000 1 E</t>
  </si>
  <si>
    <t>27 10 19 91 000 9 Q</t>
  </si>
  <si>
    <t>27 10 19 93 000 1 S</t>
  </si>
  <si>
    <t>27 10 19 93 000 9 H</t>
  </si>
  <si>
    <t>27 10 19 99 000 1 T</t>
  </si>
  <si>
    <t>27 10 19 99 000 9 L</t>
  </si>
  <si>
    <t>Emulsions d'eau dans du</t>
  </si>
  <si>
    <t>38 24 90 99 90 0 2 E</t>
  </si>
  <si>
    <t>E/hl</t>
  </si>
  <si>
    <t>gazole, carburant</t>
  </si>
  <si>
    <t xml:space="preserve">Designation des </t>
  </si>
  <si>
    <t>Designatio</t>
  </si>
  <si>
    <t>Unité de</t>
  </si>
  <si>
    <t>Rémunération</t>
  </si>
  <si>
    <t xml:space="preserve">     Taux de TVA</t>
  </si>
  <si>
    <t>produits</t>
  </si>
  <si>
    <t>dédouanement</t>
  </si>
  <si>
    <t>perception</t>
  </si>
  <si>
    <t>CPSSP</t>
  </si>
  <si>
    <t>Métropole</t>
  </si>
  <si>
    <t>Corse</t>
  </si>
  <si>
    <t>Essence d'aviation autre</t>
  </si>
  <si>
    <t>27 10 11 31 00 0 9 F</t>
  </si>
  <si>
    <t>E/hl</t>
  </si>
  <si>
    <t xml:space="preserve">Super sans plomb d'une teneur en </t>
  </si>
  <si>
    <t>27 10 11 41 00 0 1 J</t>
  </si>
  <si>
    <t>plomb n'excédant pas 0,005 g par l</t>
  </si>
  <si>
    <t>27 10 11 45 00 0 5 V</t>
  </si>
  <si>
    <t>E/hl</t>
  </si>
  <si>
    <t>et dont l'indice d'octane est &lt; à 98</t>
  </si>
  <si>
    <t xml:space="preserve">Super sans plomb d'une teneur en </t>
  </si>
  <si>
    <t>plomb n'excédant pas 0,005 g par l</t>
  </si>
  <si>
    <t>27 10 11 49 00 0 5 M</t>
  </si>
  <si>
    <t>E/hl</t>
  </si>
  <si>
    <t>et dont l'indice d'octane est de 98 ou plus</t>
  </si>
  <si>
    <t xml:space="preserve">Super sans plomb d'une teneur en </t>
  </si>
  <si>
    <t>27 10 11 45 00 0 1 H</t>
  </si>
  <si>
    <t>plomb n'excédant pas 0,005 g par l</t>
  </si>
  <si>
    <t>27 10 11 45 00 0 3 E</t>
  </si>
  <si>
    <t>E/hl</t>
  </si>
  <si>
    <t xml:space="preserve">contenant un additif </t>
  </si>
  <si>
    <t>27 10 11 49 00 0 1 N</t>
  </si>
  <si>
    <t>27 10 11 49 00 0 3 D</t>
  </si>
  <si>
    <t>Carbureacteurs aéronefs</t>
  </si>
  <si>
    <t>27 10 11 70 00 0 1 A</t>
  </si>
  <si>
    <t>E/hl</t>
  </si>
  <si>
    <t>27 10 19 21 00 0 1 M</t>
  </si>
  <si>
    <t>Carburéacteurs sous condition</t>
  </si>
  <si>
    <t>27 10 11 70 00 0 2 P</t>
  </si>
  <si>
    <t>E/hl</t>
  </si>
  <si>
    <t>d'emploi</t>
  </si>
  <si>
    <t>27 10 19 21 00 0 2 T</t>
  </si>
  <si>
    <t>Carburéacteurs type essence autre</t>
  </si>
  <si>
    <t>27 10 11 70 00 0 9 X</t>
  </si>
  <si>
    <t>E/hl</t>
  </si>
  <si>
    <t>Carburéacteur type P.lampant autre</t>
  </si>
  <si>
    <t>27 10 19 21 00 0 9 S</t>
  </si>
  <si>
    <t>E/hl</t>
  </si>
  <si>
    <t>Pétrole lampant combustible</t>
  </si>
  <si>
    <t>27 10 19 25 00 0 1 Q</t>
  </si>
  <si>
    <t>E/hl</t>
  </si>
  <si>
    <t>27 10 19 25 00 0 2 K</t>
  </si>
  <si>
    <t>Pétrole lampant carburant</t>
  </si>
  <si>
    <t>27 10 19 25 00 0 3 Z</t>
  </si>
  <si>
    <t>E/hl</t>
  </si>
  <si>
    <t>FOD soufre &lt;0,05%</t>
  </si>
  <si>
    <t>27 10 19 41 00 0 1 C</t>
  </si>
  <si>
    <t>E/hl</t>
  </si>
  <si>
    <t>FOD soufre &gt;0,05%</t>
  </si>
  <si>
    <t xml:space="preserve"> 27 10 19 45 00 0 1 E</t>
  </si>
  <si>
    <t>E/hl</t>
  </si>
  <si>
    <t>Gazole soufre &lt;0,05%</t>
  </si>
  <si>
    <t>27 10 19 41 00 0 4 E</t>
  </si>
  <si>
    <t>E/hl</t>
  </si>
  <si>
    <t>27 10 19 41 00 0 9 M</t>
  </si>
  <si>
    <t>Gazole soufre&gt;0,05% mais &lt; ou = à 0,2 %</t>
  </si>
  <si>
    <t>27 10 19 45 00 0 9 Q</t>
  </si>
  <si>
    <t>E/hl</t>
  </si>
  <si>
    <t>Gazole soufre &gt;0,2%</t>
  </si>
  <si>
    <t>27 10 19 49 00 0 9 A</t>
  </si>
  <si>
    <t>E/hl</t>
  </si>
  <si>
    <t>Fiouls  lourds</t>
  </si>
  <si>
    <t>27 10 19 61 00 0 5 R</t>
  </si>
  <si>
    <t>E/Q</t>
  </si>
  <si>
    <t>27 10 19 61 00 0 5 Y</t>
  </si>
  <si>
    <t>27 10 19 61 90 05 E</t>
  </si>
  <si>
    <t>27 10 19 63 00 05 T</t>
  </si>
  <si>
    <t>27 10 19 63 10 05 G</t>
  </si>
  <si>
    <t>27 10 19 65 00 0 5 X</t>
  </si>
  <si>
    <t>E/Q</t>
  </si>
  <si>
    <t>27 10 19 69 00 0 5 W</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</si>
</sst>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00%"/>
    <numFmt numFmtId="166" formatCode="0"/>
    <numFmt numFmtId="167" formatCode="0.00"/>
    <numFmt numFmtId="168" formatCode="0&quot; F&quot;"/>
    <numFmt numFmtId="169" formatCode="0.000"/>
    <numFmt numFmtId="170" formatCode="0.0%"/>
    <numFmt numFmtId="171" formatCode="@"/>
    <numFmt numFmtId="172" formatCode="D MMM YY"/>
    <numFmt numFmtId="173" formatCode="0%"/>
    <numFmt numFmtId="174" formatCode="#,##0.00&quot; F&quot;;-#,##0.00&quot; F&quot;"/>
    <numFmt numFmtId="175" formatCode="#,##0&quot; F&quot;;[RED]-#,##0&quot; F&quot;"/>
  </numFmts>
  <fonts count="27">
    <font>
      <sz val="10"/>
      <name val="Arial"/>
      <family val="0"/>
    </font>
    <font>
      <sz val="7"/>
      <name val="Arial"/>
      <family val="2"/>
    </font>
    <font>
      <sz val="10"/>
      <name val="Antique Olive (W1)"/>
      <family val="2"/>
    </font>
    <font>
      <b/>
      <sz val="10"/>
      <name val="Antique Olive (W1)"/>
      <family val="2"/>
    </font>
    <font>
      <b/>
      <sz val="7"/>
      <name val="Antique Olive (W1)"/>
      <family val="0"/>
    </font>
    <font>
      <sz val="7"/>
      <name val="Antique Olive (W1)"/>
      <family val="0"/>
    </font>
    <font>
      <sz val="8"/>
      <name val="Antique Olive (W1)"/>
      <family val="0"/>
    </font>
    <font>
      <sz val="8"/>
      <name val="Arial"/>
      <family val="0"/>
    </font>
    <font>
      <i/>
      <sz val="7"/>
      <name val="Antique Olive (W1)"/>
      <family val="0"/>
    </font>
    <font>
      <b/>
      <sz val="7"/>
      <name val="Arial"/>
      <family val="0"/>
    </font>
    <font>
      <sz val="6"/>
      <name val="Antique Olive (W1)"/>
      <family val="0"/>
    </font>
    <font>
      <b/>
      <i/>
      <sz val="7"/>
      <name val="Antique Olive (W1)"/>
      <family val="0"/>
    </font>
    <font>
      <sz val="7"/>
      <name val="Antique Olv (WT)"/>
      <family val="0"/>
    </font>
    <font>
      <sz val="7"/>
      <name val="Univers (WN)"/>
      <family val="0"/>
    </font>
    <font>
      <b/>
      <i/>
      <sz val="10"/>
      <name val="Antique Olive (W1)"/>
      <family val="0"/>
    </font>
    <font>
      <b/>
      <i/>
      <sz val="7"/>
      <name val="Arial"/>
      <family val="0"/>
    </font>
    <font>
      <strike/>
      <sz val="10"/>
      <name val="Antique Olive (W1)"/>
      <family val="0"/>
    </font>
    <font>
      <sz val="7"/>
      <name val="Univers  (WN)"/>
      <family val="0"/>
    </font>
    <font>
      <sz val="6"/>
      <name val="Arial"/>
      <family val="2"/>
    </font>
    <font>
      <strike/>
      <sz val="7"/>
      <name val="Arial"/>
      <family val="0"/>
    </font>
    <font>
      <strike/>
      <sz val="7"/>
      <name val="Antique Olive (W1)"/>
      <family val="0"/>
    </font>
    <font>
      <sz val="7"/>
      <name val="Antique Olive Roman"/>
      <family val="2"/>
    </font>
    <font>
      <sz val="6.95"/>
      <name val="Antique Olive Roman"/>
      <family val="2"/>
    </font>
    <font>
      <strike/>
      <sz val="10"/>
      <name val="Arial"/>
      <family val="0"/>
    </font>
    <font>
      <sz val="8"/>
      <name val="Helv"/>
      <family val="0"/>
    </font>
    <font>
      <sz val="7"/>
      <name val="Times New Roman"/>
      <family val="0"/>
    </font>
    <font>
      <sz val="12"/>
      <name val="Times New Roman"/>
      <family val="0"/>
    </font>
  </fonts>
  <fills count="14">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s>
  <borders count="52">
    <border>
      <left/>
      <right/>
      <top/>
      <bottom/>
      <diagonal/>
    </border>
    <border>
      <left style="hair">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hair">
        <color indexed="8"/>
      </left>
      <right style="thin">
        <color indexed="8"/>
      </right>
      <top style="medium">
        <color indexed="8"/>
      </top>
      <bottom>
        <color indexed="63"/>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hair">
        <color indexed="8"/>
      </left>
      <right style="thin">
        <color indexed="8"/>
      </right>
      <top>
        <color indexed="63"/>
      </top>
      <bottom>
        <color indexed="63"/>
      </bottom>
    </border>
    <border>
      <left style="hair">
        <color indexed="8"/>
      </left>
      <right style="thin">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medium">
        <color indexed="8"/>
      </right>
      <top style="thin">
        <color indexed="8"/>
      </top>
      <bottom>
        <color indexed="63"/>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hair">
        <color indexed="8"/>
      </left>
      <right style="thin">
        <color indexed="8"/>
      </right>
      <top>
        <color indexed="63"/>
      </top>
      <bottom style="hair">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hair">
        <color indexed="8"/>
      </left>
      <right style="thin">
        <color indexed="8"/>
      </right>
      <top>
        <color indexed="63"/>
      </top>
      <bottom style="medium">
        <color indexed="8"/>
      </bottom>
    </border>
    <border>
      <left style="hair">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medium">
        <color indexed="8"/>
      </bottom>
    </border>
    <border>
      <left>
        <color indexed="63"/>
      </left>
      <right style="hair">
        <color indexed="8"/>
      </right>
      <top style="medium">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medium">
        <color indexed="8"/>
      </bottom>
    </border>
    <border>
      <left style="hair">
        <color indexed="8"/>
      </left>
      <right style="thin">
        <color indexed="8"/>
      </right>
      <top style="hair">
        <color indexed="8"/>
      </top>
      <bottom>
        <color indexed="63"/>
      </bottom>
    </border>
    <border>
      <left style="medium">
        <color indexed="8"/>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0">
    <xf numFmtId="164" fontId="0" fillId="0" borderId="0" xfId="0" applyAlignment="1">
      <alignment/>
    </xf>
    <xf numFmtId="164" fontId="0" fillId="0" borderId="0" xfId="0" applyFont="1" applyBorder="1" applyAlignment="1">
      <alignment/>
    </xf>
    <xf numFmtId="164" fontId="0" fillId="0" borderId="1" xfId="0" applyFont="1" applyBorder="1" applyAlignment="1">
      <alignment/>
    </xf>
    <xf numFmtId="165" fontId="0" fillId="0" borderId="1" xfId="0" applyNumberFormat="1" applyFont="1" applyBorder="1" applyAlignment="1">
      <alignment horizontal="right"/>
    </xf>
    <xf numFmtId="164" fontId="0" fillId="2" borderId="0" xfId="0" applyFont="1" applyFill="1" applyBorder="1" applyAlignment="1">
      <alignment/>
    </xf>
    <xf numFmtId="164" fontId="0" fillId="3" borderId="0" xfId="0" applyFont="1" applyFill="1" applyBorder="1" applyAlignment="1">
      <alignment/>
    </xf>
    <xf numFmtId="164" fontId="0" fillId="0" borderId="1" xfId="0" applyFont="1" applyFill="1" applyBorder="1" applyAlignment="1">
      <alignment/>
    </xf>
    <xf numFmtId="164" fontId="0" fillId="0" borderId="0" xfId="0" applyFont="1" applyFill="1" applyBorder="1" applyAlignment="1">
      <alignment/>
    </xf>
    <xf numFmtId="164" fontId="0" fillId="0" borderId="2" xfId="0" applyFont="1" applyFill="1" applyBorder="1" applyAlignment="1">
      <alignment/>
    </xf>
    <xf numFmtId="164" fontId="0" fillId="4" borderId="0" xfId="0" applyFont="1" applyFill="1" applyBorder="1" applyAlignment="1">
      <alignment/>
    </xf>
    <xf numFmtId="164" fontId="0" fillId="5" borderId="0" xfId="0" applyFont="1" applyFill="1" applyBorder="1" applyAlignment="1">
      <alignment/>
    </xf>
    <xf numFmtId="166" fontId="1" fillId="6" borderId="0" xfId="0" applyNumberFormat="1" applyFont="1" applyFill="1" applyBorder="1" applyAlignment="1">
      <alignment/>
    </xf>
    <xf numFmtId="166" fontId="1" fillId="7" borderId="0" xfId="0" applyNumberFormat="1" applyFont="1" applyFill="1" applyBorder="1" applyAlignment="1">
      <alignment/>
    </xf>
    <xf numFmtId="166" fontId="1" fillId="8" borderId="0" xfId="0" applyNumberFormat="1" applyFont="1" applyFill="1" applyBorder="1" applyAlignment="1">
      <alignment/>
    </xf>
    <xf numFmtId="166" fontId="1" fillId="0" borderId="0" xfId="0" applyNumberFormat="1" applyFont="1" applyFill="1" applyBorder="1" applyAlignment="1">
      <alignment/>
    </xf>
    <xf numFmtId="165" fontId="0" fillId="0" borderId="0" xfId="0" applyNumberFormat="1" applyFont="1" applyBorder="1" applyAlignment="1">
      <alignment horizontal="right"/>
    </xf>
    <xf numFmtId="166" fontId="0" fillId="6" borderId="0" xfId="0" applyNumberFormat="1" applyFont="1" applyFill="1" applyBorder="1" applyAlignment="1">
      <alignment/>
    </xf>
    <xf numFmtId="166" fontId="0" fillId="7" borderId="0" xfId="0" applyNumberFormat="1" applyFont="1" applyFill="1" applyBorder="1" applyAlignment="1">
      <alignment/>
    </xf>
    <xf numFmtId="166" fontId="1" fillId="8" borderId="0" xfId="0" applyNumberFormat="1" applyFont="1" applyFill="1" applyBorder="1" applyAlignment="1" applyProtection="1">
      <alignment/>
      <protection/>
    </xf>
    <xf numFmtId="166" fontId="1" fillId="0" borderId="0" xfId="0" applyNumberFormat="1" applyFont="1" applyFill="1" applyBorder="1" applyAlignment="1" applyProtection="1">
      <alignment horizontal="right"/>
      <protection/>
    </xf>
    <xf numFmtId="167" fontId="2" fillId="0" borderId="0" xfId="0" applyNumberFormat="1" applyFont="1" applyFill="1" applyBorder="1" applyAlignment="1" applyProtection="1">
      <alignment/>
      <protection/>
    </xf>
    <xf numFmtId="164" fontId="2" fillId="0" borderId="0" xfId="0" applyFont="1" applyFill="1" applyBorder="1" applyAlignment="1" applyProtection="1">
      <alignment horizontal="center"/>
      <protection/>
    </xf>
    <xf numFmtId="164" fontId="2" fillId="0" borderId="0" xfId="0" applyFont="1" applyFill="1" applyBorder="1" applyAlignment="1" applyProtection="1">
      <alignment/>
      <protection/>
    </xf>
    <xf numFmtId="168" fontId="2" fillId="0" borderId="0" xfId="0" applyNumberFormat="1" applyFont="1" applyFill="1" applyBorder="1" applyAlignment="1" applyProtection="1">
      <alignment/>
      <protection/>
    </xf>
    <xf numFmtId="168" fontId="3" fillId="0" borderId="3" xfId="0" applyNumberFormat="1" applyFont="1" applyFill="1" applyBorder="1" applyAlignment="1" applyProtection="1">
      <alignment horizontal="center"/>
      <protection/>
    </xf>
    <xf numFmtId="164" fontId="3" fillId="0" borderId="3" xfId="0" applyFont="1" applyFill="1" applyBorder="1" applyAlignment="1" applyProtection="1">
      <alignment horizontal="center"/>
      <protection/>
    </xf>
    <xf numFmtId="164" fontId="0" fillId="0" borderId="0" xfId="0" applyFont="1" applyFill="1" applyBorder="1" applyAlignment="1">
      <alignment/>
    </xf>
    <xf numFmtId="164" fontId="4" fillId="0" borderId="3" xfId="0" applyFont="1" applyFill="1" applyBorder="1" applyAlignment="1" applyProtection="1">
      <alignment/>
      <protection/>
    </xf>
    <xf numFmtId="169" fontId="5" fillId="0" borderId="3" xfId="0" applyNumberFormat="1" applyFont="1" applyFill="1" applyBorder="1" applyAlignment="1" applyProtection="1">
      <alignment/>
      <protection locked="0"/>
    </xf>
    <xf numFmtId="164" fontId="5" fillId="0" borderId="3" xfId="0" applyFont="1" applyFill="1" applyBorder="1" applyAlignment="1" applyProtection="1">
      <alignment/>
      <protection/>
    </xf>
    <xf numFmtId="164" fontId="2" fillId="8" borderId="0" xfId="0" applyFont="1" applyFill="1" applyBorder="1" applyAlignment="1" applyProtection="1">
      <alignment/>
      <protection/>
    </xf>
    <xf numFmtId="164" fontId="3" fillId="8" borderId="3" xfId="0" applyFont="1" applyFill="1" applyBorder="1" applyAlignment="1" applyProtection="1">
      <alignment horizontal="center"/>
      <protection/>
    </xf>
    <xf numFmtId="164" fontId="3" fillId="0" borderId="4" xfId="0" applyFont="1" applyFill="1" applyBorder="1" applyAlignment="1" applyProtection="1">
      <alignment horizontal="center"/>
      <protection/>
    </xf>
    <xf numFmtId="164" fontId="3" fillId="0" borderId="5" xfId="0" applyFont="1" applyFill="1" applyBorder="1" applyAlignment="1" applyProtection="1">
      <alignment/>
      <protection/>
    </xf>
    <xf numFmtId="164" fontId="2" fillId="0" borderId="0" xfId="0" applyFont="1" applyFill="1" applyBorder="1" applyAlignment="1">
      <alignment/>
    </xf>
    <xf numFmtId="166" fontId="1" fillId="8" borderId="0" xfId="0" applyNumberFormat="1" applyFont="1" applyFill="1" applyBorder="1" applyAlignment="1" applyProtection="1">
      <alignment horizontal="center"/>
      <protection/>
    </xf>
    <xf numFmtId="170" fontId="5" fillId="0" borderId="3" xfId="0" applyNumberFormat="1" applyFont="1" applyFill="1" applyBorder="1" applyAlignment="1" applyProtection="1">
      <alignment horizontal="center"/>
      <protection locked="0"/>
    </xf>
    <xf numFmtId="167" fontId="5" fillId="0" borderId="3" xfId="0" applyNumberFormat="1" applyFont="1" applyFill="1" applyBorder="1" applyAlignment="1" applyProtection="1">
      <alignment/>
      <protection locked="0"/>
    </xf>
    <xf numFmtId="168" fontId="5" fillId="0" borderId="3" xfId="0" applyNumberFormat="1" applyFont="1" applyFill="1" applyBorder="1" applyAlignment="1" applyProtection="1">
      <alignment/>
      <protection/>
    </xf>
    <xf numFmtId="167" fontId="5" fillId="0" borderId="0" xfId="0" applyNumberFormat="1" applyFont="1" applyFill="1" applyBorder="1" applyAlignment="1" applyProtection="1">
      <alignment/>
      <protection locked="0"/>
    </xf>
    <xf numFmtId="164" fontId="5" fillId="8" borderId="0" xfId="0" applyFont="1" applyFill="1" applyBorder="1" applyAlignment="1" applyProtection="1">
      <alignment/>
      <protection/>
    </xf>
    <xf numFmtId="164" fontId="5" fillId="8" borderId="6" xfId="0" applyFont="1" applyFill="1" applyBorder="1" applyAlignment="1" applyProtection="1">
      <alignment/>
      <protection/>
    </xf>
    <xf numFmtId="167" fontId="5" fillId="8" borderId="7" xfId="0" applyNumberFormat="1" applyFont="1" applyFill="1" applyBorder="1" applyAlignment="1" applyProtection="1">
      <alignment horizontal="right"/>
      <protection/>
    </xf>
    <xf numFmtId="164" fontId="5" fillId="0" borderId="6" xfId="0" applyFont="1" applyFill="1" applyBorder="1" applyAlignment="1" applyProtection="1">
      <alignment horizontal="left"/>
      <protection/>
    </xf>
    <xf numFmtId="167" fontId="5" fillId="0" borderId="7" xfId="0" applyNumberFormat="1" applyFont="1" applyFill="1" applyBorder="1" applyAlignment="1" applyProtection="1">
      <alignment horizontal="right"/>
      <protection locked="0"/>
    </xf>
    <xf numFmtId="164" fontId="5" fillId="0" borderId="8" xfId="0" applyFont="1" applyFill="1" applyBorder="1" applyAlignment="1" applyProtection="1">
      <alignment horizontal="center"/>
      <protection/>
    </xf>
    <xf numFmtId="164" fontId="5" fillId="0" borderId="9" xfId="0" applyFont="1" applyFill="1" applyBorder="1" applyAlignment="1" applyProtection="1">
      <alignment horizontal="center"/>
      <protection/>
    </xf>
    <xf numFmtId="164" fontId="5" fillId="0" borderId="10" xfId="0" applyFont="1" applyFill="1" applyBorder="1" applyAlignment="1" applyProtection="1">
      <alignment/>
      <protection/>
    </xf>
    <xf numFmtId="164" fontId="5" fillId="0" borderId="11" xfId="0" applyFont="1" applyBorder="1" applyAlignment="1" applyProtection="1">
      <alignment/>
      <protection/>
    </xf>
    <xf numFmtId="165" fontId="5" fillId="0" borderId="12" xfId="0" applyNumberFormat="1" applyFont="1" applyFill="1" applyBorder="1" applyAlignment="1" applyProtection="1">
      <alignment horizontal="center" vertical="center"/>
      <protection/>
    </xf>
    <xf numFmtId="168" fontId="5" fillId="2" borderId="9" xfId="0" applyNumberFormat="1" applyFont="1" applyFill="1" applyBorder="1" applyAlignment="1" applyProtection="1">
      <alignment/>
      <protection/>
    </xf>
    <xf numFmtId="164" fontId="5" fillId="2" borderId="9" xfId="0" applyFont="1" applyFill="1" applyBorder="1" applyAlignment="1" applyProtection="1">
      <alignment/>
      <protection/>
    </xf>
    <xf numFmtId="164" fontId="5" fillId="0" borderId="11" xfId="0" applyFont="1" applyFill="1" applyBorder="1" applyAlignment="1">
      <alignment horizontal="center"/>
    </xf>
    <xf numFmtId="164" fontId="5" fillId="0" borderId="11" xfId="0" applyFont="1" applyFill="1" applyBorder="1" applyAlignment="1" applyProtection="1">
      <alignment horizontal="center" vertical="top" wrapText="1"/>
      <protection/>
    </xf>
    <xf numFmtId="168" fontId="5" fillId="3" borderId="9" xfId="0" applyNumberFormat="1" applyFont="1" applyFill="1" applyBorder="1" applyAlignment="1" applyProtection="1">
      <alignment horizontal="center"/>
      <protection/>
    </xf>
    <xf numFmtId="168" fontId="5" fillId="3" borderId="9" xfId="0" applyNumberFormat="1" applyFont="1" applyFill="1" applyBorder="1" applyAlignment="1" applyProtection="1">
      <alignment horizontal="right"/>
      <protection/>
    </xf>
    <xf numFmtId="168" fontId="5" fillId="0" borderId="13" xfId="0" applyNumberFormat="1" applyFont="1" applyFill="1" applyBorder="1" applyAlignment="1" applyProtection="1">
      <alignment horizontal="center" vertical="center"/>
      <protection/>
    </xf>
    <xf numFmtId="164" fontId="5" fillId="0" borderId="2" xfId="0" applyFont="1" applyFill="1" applyBorder="1" applyAlignment="1" applyProtection="1">
      <alignment/>
      <protection/>
    </xf>
    <xf numFmtId="166" fontId="1" fillId="4" borderId="0" xfId="0" applyNumberFormat="1" applyFont="1" applyFill="1" applyBorder="1" applyAlignment="1" applyProtection="1">
      <alignment/>
      <protection/>
    </xf>
    <xf numFmtId="166" fontId="1" fillId="5" borderId="0" xfId="0" applyNumberFormat="1" applyFont="1" applyFill="1" applyBorder="1" applyAlignment="1" applyProtection="1">
      <alignment/>
      <protection/>
    </xf>
    <xf numFmtId="166" fontId="1" fillId="6"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xf>
    <xf numFmtId="166" fontId="1" fillId="8" borderId="0" xfId="0" applyNumberFormat="1" applyFont="1" applyFill="1" applyBorder="1" applyAlignment="1" applyProtection="1">
      <alignment horizontal="center" vertical="top"/>
      <protection/>
    </xf>
    <xf numFmtId="166" fontId="0" fillId="0" borderId="0" xfId="0" applyNumberFormat="1" applyFont="1" applyFill="1" applyBorder="1" applyAlignment="1">
      <alignment/>
    </xf>
    <xf numFmtId="169" fontId="4" fillId="0" borderId="3" xfId="0" applyNumberFormat="1" applyFont="1" applyFill="1" applyBorder="1" applyAlignment="1" applyProtection="1">
      <alignment/>
      <protection locked="0"/>
    </xf>
    <xf numFmtId="164" fontId="4" fillId="8" borderId="0" xfId="0" applyFont="1" applyFill="1" applyBorder="1" applyAlignment="1" applyProtection="1">
      <alignment horizontal="right"/>
      <protection/>
    </xf>
    <xf numFmtId="164" fontId="5" fillId="8" borderId="14" xfId="0" applyFont="1" applyFill="1" applyBorder="1" applyAlignment="1" applyProtection="1">
      <alignment/>
      <protection/>
    </xf>
    <xf numFmtId="167" fontId="5" fillId="8" borderId="15" xfId="0" applyNumberFormat="1" applyFont="1" applyFill="1" applyBorder="1" applyAlignment="1" applyProtection="1">
      <alignment horizontal="right"/>
      <protection locked="0"/>
    </xf>
    <xf numFmtId="164" fontId="5" fillId="0" borderId="14" xfId="0" applyFont="1" applyFill="1" applyBorder="1" applyAlignment="1" applyProtection="1">
      <alignment horizontal="left"/>
      <protection/>
    </xf>
    <xf numFmtId="167" fontId="5" fillId="0" borderId="15" xfId="0" applyNumberFormat="1" applyFont="1" applyFill="1" applyBorder="1" applyAlignment="1" applyProtection="1">
      <alignment horizontal="right"/>
      <protection locked="0"/>
    </xf>
    <xf numFmtId="164" fontId="5" fillId="0" borderId="16" xfId="0" applyFont="1" applyFill="1" applyBorder="1" applyAlignment="1" applyProtection="1">
      <alignment horizontal="center"/>
      <protection/>
    </xf>
    <xf numFmtId="164" fontId="5" fillId="0" borderId="0" xfId="0" applyFont="1" applyFill="1" applyBorder="1" applyAlignment="1" applyProtection="1">
      <alignment horizontal="center"/>
      <protection/>
    </xf>
    <xf numFmtId="164" fontId="5" fillId="0" borderId="17" xfId="0" applyFont="1" applyFill="1" applyBorder="1" applyAlignment="1" applyProtection="1">
      <alignment horizontal="center"/>
      <protection/>
    </xf>
    <xf numFmtId="164" fontId="5" fillId="0" borderId="18" xfId="0" applyFont="1" applyBorder="1" applyAlignment="1" applyProtection="1">
      <alignment horizontal="center"/>
      <protection/>
    </xf>
    <xf numFmtId="165" fontId="5" fillId="0" borderId="1" xfId="0" applyNumberFormat="1" applyFont="1" applyFill="1" applyBorder="1" applyAlignment="1" applyProtection="1">
      <alignment horizontal="center"/>
      <protection/>
    </xf>
    <xf numFmtId="164" fontId="0" fillId="0" borderId="0" xfId="0" applyFont="1" applyBorder="1" applyAlignment="1">
      <alignment horizontal="center"/>
    </xf>
    <xf numFmtId="168" fontId="5" fillId="2" borderId="0" xfId="0" applyNumberFormat="1" applyFont="1" applyFill="1" applyBorder="1" applyAlignment="1" applyProtection="1">
      <alignment/>
      <protection/>
    </xf>
    <xf numFmtId="164" fontId="5" fillId="0" borderId="18" xfId="0" applyFont="1" applyFill="1" applyBorder="1" applyAlignment="1" applyProtection="1">
      <alignment horizontal="center" vertical="top" wrapText="1"/>
      <protection/>
    </xf>
    <xf numFmtId="164" fontId="5" fillId="0" borderId="18" xfId="0" applyFont="1" applyFill="1" applyBorder="1" applyAlignment="1" applyProtection="1">
      <alignment horizontal="center"/>
      <protection/>
    </xf>
    <xf numFmtId="168" fontId="5" fillId="3" borderId="0" xfId="0" applyNumberFormat="1" applyFont="1" applyFill="1" applyBorder="1" applyAlignment="1" applyProtection="1">
      <alignment horizontal="center"/>
      <protection/>
    </xf>
    <xf numFmtId="168" fontId="5" fillId="3" borderId="0" xfId="0" applyNumberFormat="1" applyFont="1" applyFill="1" applyBorder="1" applyAlignment="1" applyProtection="1">
      <alignment horizontal="right"/>
      <protection/>
    </xf>
    <xf numFmtId="168" fontId="5" fillId="0" borderId="19" xfId="0" applyNumberFormat="1" applyFont="1" applyFill="1" applyBorder="1" applyAlignment="1" applyProtection="1">
      <alignment horizontal="center"/>
      <protection/>
    </xf>
    <xf numFmtId="164" fontId="5" fillId="0" borderId="20" xfId="0" applyFont="1" applyFill="1" applyBorder="1" applyAlignment="1" applyProtection="1">
      <alignment horizontal="center"/>
      <protection/>
    </xf>
    <xf numFmtId="167" fontId="5" fillId="0" borderId="21" xfId="0" applyNumberFormat="1" applyFont="1" applyFill="1" applyBorder="1" applyAlignment="1" applyProtection="1">
      <alignment horizontal="center"/>
      <protection/>
    </xf>
    <xf numFmtId="164" fontId="5" fillId="0" borderId="2" xfId="0" applyFont="1" applyFill="1" applyBorder="1" applyAlignment="1" applyProtection="1">
      <alignment horizontal="center"/>
      <protection/>
    </xf>
    <xf numFmtId="166" fontId="1" fillId="4" borderId="0" xfId="0" applyNumberFormat="1" applyFont="1" applyFill="1" applyBorder="1" applyAlignment="1" applyProtection="1">
      <alignment horizontal="center"/>
      <protection/>
    </xf>
    <xf numFmtId="166" fontId="1" fillId="5" borderId="0" xfId="0" applyNumberFormat="1" applyFont="1" applyFill="1" applyBorder="1" applyAlignment="1" applyProtection="1">
      <alignment horizontal="center"/>
      <protection/>
    </xf>
    <xf numFmtId="166" fontId="1" fillId="6" borderId="0" xfId="0" applyNumberFormat="1" applyFont="1" applyFill="1" applyBorder="1" applyAlignment="1" applyProtection="1">
      <alignment horizontal="center"/>
      <protection/>
    </xf>
    <xf numFmtId="166" fontId="1" fillId="7" borderId="0" xfId="0" applyNumberFormat="1" applyFont="1" applyFill="1" applyBorder="1" applyAlignment="1" applyProtection="1">
      <alignment horizontal="center"/>
      <protection/>
    </xf>
    <xf numFmtId="164" fontId="5" fillId="0" borderId="0" xfId="0" applyFont="1" applyFill="1" applyBorder="1" applyAlignment="1" applyProtection="1">
      <alignment/>
      <protection/>
    </xf>
    <xf numFmtId="168" fontId="5" fillId="0" borderId="22" xfId="0" applyNumberFormat="1" applyFont="1" applyFill="1" applyBorder="1" applyAlignment="1" applyProtection="1">
      <alignment/>
      <protection/>
    </xf>
    <xf numFmtId="167" fontId="5" fillId="0" borderId="22" xfId="0" applyNumberFormat="1" applyFont="1" applyFill="1" applyBorder="1" applyAlignment="1" applyProtection="1">
      <alignment/>
      <protection locked="0"/>
    </xf>
    <xf numFmtId="167" fontId="5" fillId="8" borderId="15" xfId="0" applyNumberFormat="1" applyFont="1" applyFill="1" applyBorder="1" applyAlignment="1" applyProtection="1">
      <alignment horizontal="right"/>
      <protection/>
    </xf>
    <xf numFmtId="164" fontId="5" fillId="0" borderId="17" xfId="0" applyFont="1" applyFill="1" applyBorder="1" applyAlignment="1" applyProtection="1">
      <alignment horizontal="right"/>
      <protection/>
    </xf>
    <xf numFmtId="164" fontId="5" fillId="2" borderId="7" xfId="0" applyFont="1" applyFill="1" applyBorder="1" applyAlignment="1" applyProtection="1">
      <alignment horizontal="center"/>
      <protection/>
    </xf>
    <xf numFmtId="164" fontId="5" fillId="2" borderId="23" xfId="0" applyFont="1" applyFill="1" applyBorder="1" applyAlignment="1" applyProtection="1">
      <alignment horizontal="center"/>
      <protection/>
    </xf>
    <xf numFmtId="168" fontId="5" fillId="0" borderId="18" xfId="0" applyNumberFormat="1" applyFont="1" applyFill="1" applyBorder="1" applyAlignment="1" applyProtection="1">
      <alignment horizontal="center"/>
      <protection/>
    </xf>
    <xf numFmtId="164" fontId="5" fillId="0" borderId="1" xfId="0" applyFont="1" applyFill="1" applyBorder="1" applyAlignment="1" applyProtection="1">
      <alignment horizontal="center"/>
      <protection/>
    </xf>
    <xf numFmtId="167" fontId="5" fillId="0" borderId="19" xfId="0" applyNumberFormat="1" applyFont="1" applyFill="1" applyBorder="1" applyAlignment="1" applyProtection="1">
      <alignment horizontal="center"/>
      <protection/>
    </xf>
    <xf numFmtId="167" fontId="5" fillId="0" borderId="24" xfId="0" applyNumberFormat="1" applyFont="1" applyFill="1" applyBorder="1" applyAlignment="1" applyProtection="1">
      <alignment horizontal="center" vertical="top"/>
      <protection/>
    </xf>
    <xf numFmtId="164" fontId="5" fillId="0" borderId="2" xfId="0" applyFont="1" applyFill="1" applyBorder="1" applyAlignment="1" applyProtection="1">
      <alignment horizontal="center" vertical="top"/>
      <protection/>
    </xf>
    <xf numFmtId="166" fontId="1" fillId="4" borderId="0" xfId="0" applyNumberFormat="1" applyFont="1" applyFill="1" applyBorder="1" applyAlignment="1" applyProtection="1">
      <alignment horizontal="center" vertical="top"/>
      <protection/>
    </xf>
    <xf numFmtId="166" fontId="1" fillId="5" borderId="0" xfId="0" applyNumberFormat="1" applyFont="1" applyFill="1" applyBorder="1" applyAlignment="1" applyProtection="1">
      <alignment horizontal="center" vertical="top"/>
      <protection/>
    </xf>
    <xf numFmtId="166" fontId="1" fillId="6" borderId="0" xfId="0" applyNumberFormat="1" applyFont="1" applyFill="1" applyBorder="1" applyAlignment="1" applyProtection="1">
      <alignment horizontal="center" vertical="top"/>
      <protection/>
    </xf>
    <xf numFmtId="166" fontId="1" fillId="7" borderId="0" xfId="0" applyNumberFormat="1" applyFont="1" applyFill="1" applyBorder="1" applyAlignment="1" applyProtection="1">
      <alignment horizontal="center" vertical="top"/>
      <protection/>
    </xf>
    <xf numFmtId="168" fontId="5" fillId="0" borderId="17" xfId="0" applyNumberFormat="1" applyFont="1" applyFill="1" applyBorder="1" applyAlignment="1" applyProtection="1">
      <alignment/>
      <protection/>
    </xf>
    <xf numFmtId="167" fontId="5" fillId="0" borderId="17" xfId="0" applyNumberFormat="1" applyFont="1" applyFill="1" applyBorder="1" applyAlignment="1" applyProtection="1">
      <alignment/>
      <protection locked="0"/>
    </xf>
    <xf numFmtId="164" fontId="5" fillId="0" borderId="17" xfId="0" applyFont="1" applyFill="1" applyBorder="1" applyAlignment="1" applyProtection="1">
      <alignment/>
      <protection/>
    </xf>
    <xf numFmtId="171" fontId="5" fillId="0" borderId="1" xfId="0" applyNumberFormat="1" applyFont="1" applyFill="1" applyBorder="1" applyAlignment="1" applyProtection="1">
      <alignment horizontal="center"/>
      <protection/>
    </xf>
    <xf numFmtId="164" fontId="0" fillId="0" borderId="15" xfId="0" applyFont="1" applyBorder="1" applyAlignment="1">
      <alignment horizontal="center"/>
    </xf>
    <xf numFmtId="164" fontId="5" fillId="2" borderId="15" xfId="0" applyFont="1" applyFill="1" applyBorder="1" applyAlignment="1" applyProtection="1">
      <alignment/>
      <protection/>
    </xf>
    <xf numFmtId="164" fontId="5" fillId="2" borderId="0" xfId="0" applyFont="1" applyFill="1" applyBorder="1" applyAlignment="1" applyProtection="1">
      <alignment/>
      <protection/>
    </xf>
    <xf numFmtId="164" fontId="5" fillId="0" borderId="18" xfId="0" applyFont="1" applyFill="1" applyBorder="1" applyAlignment="1" applyProtection="1">
      <alignment/>
      <protection/>
    </xf>
    <xf numFmtId="167" fontId="5" fillId="0" borderId="18" xfId="0" applyNumberFormat="1" applyFont="1" applyFill="1" applyBorder="1" applyAlignment="1" applyProtection="1">
      <alignment horizontal="center"/>
      <protection/>
    </xf>
    <xf numFmtId="167" fontId="5" fillId="0" borderId="25" xfId="0" applyNumberFormat="1" applyFont="1" applyFill="1" applyBorder="1" applyAlignment="1" applyProtection="1">
      <alignment horizontal="center" vertical="top"/>
      <protection/>
    </xf>
    <xf numFmtId="166" fontId="1" fillId="8" borderId="0" xfId="0" applyNumberFormat="1" applyFont="1" applyFill="1" applyBorder="1" applyAlignment="1" applyProtection="1">
      <alignment horizontal="center" vertical="center"/>
      <protection/>
    </xf>
    <xf numFmtId="168" fontId="2" fillId="0" borderId="0" xfId="0" applyNumberFormat="1" applyFont="1" applyFill="1" applyBorder="1" applyAlignment="1" applyProtection="1">
      <alignment horizontal="center"/>
      <protection/>
    </xf>
    <xf numFmtId="168" fontId="5" fillId="0" borderId="17" xfId="0" applyNumberFormat="1" applyFont="1" applyFill="1" applyBorder="1" applyAlignment="1" applyProtection="1">
      <alignment horizontal="left"/>
      <protection/>
    </xf>
    <xf numFmtId="167" fontId="5" fillId="0" borderId="17" xfId="0" applyNumberFormat="1" applyFont="1" applyFill="1" applyBorder="1" applyAlignment="1" applyProtection="1">
      <alignment horizontal="right"/>
      <protection locked="0"/>
    </xf>
    <xf numFmtId="167" fontId="5" fillId="0" borderId="0" xfId="0" applyNumberFormat="1" applyFont="1" applyFill="1" applyBorder="1" applyAlignment="1" applyProtection="1">
      <alignment horizontal="right"/>
      <protection locked="0"/>
    </xf>
    <xf numFmtId="164" fontId="5" fillId="8" borderId="0" xfId="0" applyFont="1" applyFill="1" applyBorder="1" applyAlignment="1" applyProtection="1">
      <alignment horizontal="center"/>
      <protection/>
    </xf>
    <xf numFmtId="164" fontId="5" fillId="8" borderId="14" xfId="0" applyFont="1" applyFill="1" applyBorder="1" applyAlignment="1" applyProtection="1">
      <alignment horizontal="left"/>
      <protection/>
    </xf>
    <xf numFmtId="164" fontId="5" fillId="0" borderId="26" xfId="0" applyFont="1" applyFill="1" applyBorder="1" applyAlignment="1" applyProtection="1">
      <alignment horizontal="left"/>
      <protection/>
    </xf>
    <xf numFmtId="167" fontId="5" fillId="0" borderId="27" xfId="0" applyNumberFormat="1" applyFont="1" applyFill="1" applyBorder="1" applyAlignment="1" applyProtection="1">
      <alignment horizontal="right"/>
      <protection locked="0"/>
    </xf>
    <xf numFmtId="164" fontId="5" fillId="0" borderId="28" xfId="0" applyFont="1" applyFill="1" applyBorder="1" applyAlignment="1" applyProtection="1">
      <alignment horizontal="center"/>
      <protection/>
    </xf>
    <xf numFmtId="165" fontId="5" fillId="0" borderId="1" xfId="0" applyNumberFormat="1" applyFont="1" applyFill="1" applyBorder="1" applyAlignment="1" applyProtection="1">
      <alignment horizontal="right"/>
      <protection/>
    </xf>
    <xf numFmtId="168" fontId="5" fillId="0" borderId="0" xfId="0" applyNumberFormat="1" applyFont="1" applyFill="1" applyBorder="1" applyAlignment="1" applyProtection="1">
      <alignment horizontal="center"/>
      <protection/>
    </xf>
    <xf numFmtId="164" fontId="5" fillId="2" borderId="15" xfId="0" applyFont="1" applyFill="1" applyBorder="1" applyAlignment="1" applyProtection="1">
      <alignment horizontal="center"/>
      <protection/>
    </xf>
    <xf numFmtId="164" fontId="5" fillId="2" borderId="0" xfId="0" applyFont="1" applyFill="1" applyBorder="1" applyAlignment="1" applyProtection="1">
      <alignment horizontal="center"/>
      <protection/>
    </xf>
    <xf numFmtId="168" fontId="5" fillId="0" borderId="1" xfId="0" applyNumberFormat="1" applyFont="1" applyFill="1" applyBorder="1" applyAlignment="1" applyProtection="1">
      <alignment horizontal="center"/>
      <protection/>
    </xf>
    <xf numFmtId="168" fontId="5" fillId="0" borderId="15" xfId="0" applyNumberFormat="1" applyFont="1" applyFill="1" applyBorder="1" applyAlignment="1" applyProtection="1">
      <alignment horizontal="center"/>
      <protection/>
    </xf>
    <xf numFmtId="164" fontId="5" fillId="0" borderId="29" xfId="0" applyFont="1" applyFill="1" applyBorder="1" applyAlignment="1" applyProtection="1">
      <alignment horizontal="center"/>
      <protection/>
    </xf>
    <xf numFmtId="164" fontId="2" fillId="0" borderId="0" xfId="0" applyFont="1" applyFill="1" applyBorder="1" applyAlignment="1">
      <alignment horizontal="center"/>
    </xf>
    <xf numFmtId="170" fontId="4" fillId="0" borderId="3" xfId="0" applyNumberFormat="1" applyFont="1" applyFill="1" applyBorder="1" applyAlignment="1" applyProtection="1">
      <alignment horizontal="center"/>
      <protection locked="0"/>
    </xf>
    <xf numFmtId="167" fontId="5" fillId="0" borderId="3" xfId="0" applyNumberFormat="1" applyFont="1" applyFill="1" applyBorder="1" applyAlignment="1" applyProtection="1">
      <alignment horizontal="right"/>
      <protection locked="0"/>
    </xf>
    <xf numFmtId="164" fontId="5" fillId="8" borderId="26" xfId="0" applyFont="1" applyFill="1" applyBorder="1" applyAlignment="1" applyProtection="1">
      <alignment/>
      <protection/>
    </xf>
    <xf numFmtId="167" fontId="5" fillId="8" borderId="27" xfId="0" applyNumberFormat="1" applyFont="1" applyFill="1" applyBorder="1" applyAlignment="1" applyProtection="1">
      <alignment horizontal="right"/>
      <protection/>
    </xf>
    <xf numFmtId="164" fontId="5" fillId="0" borderId="4" xfId="0" applyFont="1" applyFill="1" applyBorder="1" applyAlignment="1" applyProtection="1">
      <alignment horizontal="left"/>
      <protection/>
    </xf>
    <xf numFmtId="167" fontId="5" fillId="0" borderId="5" xfId="0" applyNumberFormat="1" applyFont="1" applyFill="1" applyBorder="1" applyAlignment="1" applyProtection="1">
      <alignment horizontal="right"/>
      <protection locked="0"/>
    </xf>
    <xf numFmtId="164" fontId="2" fillId="0" borderId="30" xfId="0" applyFont="1" applyFill="1" applyBorder="1" applyAlignment="1">
      <alignment/>
    </xf>
    <xf numFmtId="164" fontId="5" fillId="0" borderId="31" xfId="0" applyFont="1" applyFill="1" applyBorder="1" applyAlignment="1" applyProtection="1">
      <alignment horizontal="center" vertical="center"/>
      <protection/>
    </xf>
    <xf numFmtId="164" fontId="5" fillId="0" borderId="3" xfId="0" applyFont="1" applyFill="1" applyBorder="1" applyAlignment="1" applyProtection="1">
      <alignment horizontal="center" vertical="center"/>
      <protection/>
    </xf>
    <xf numFmtId="164" fontId="5" fillId="0" borderId="32" xfId="0" applyFont="1" applyBorder="1" applyAlignment="1" applyProtection="1">
      <alignment horizontal="center" vertical="center"/>
      <protection/>
    </xf>
    <xf numFmtId="164" fontId="5" fillId="0" borderId="33" xfId="0" applyNumberFormat="1" applyFont="1" applyFill="1" applyBorder="1" applyAlignment="1" applyProtection="1">
      <alignment horizontal="right" vertical="center"/>
      <protection/>
    </xf>
    <xf numFmtId="164" fontId="5" fillId="0" borderId="31" xfId="0" applyNumberFormat="1" applyFont="1" applyFill="1" applyBorder="1" applyAlignment="1" applyProtection="1">
      <alignment horizontal="center" vertical="center"/>
      <protection/>
    </xf>
    <xf numFmtId="164" fontId="5" fillId="2" borderId="5" xfId="0" applyFont="1" applyFill="1" applyBorder="1" applyAlignment="1" applyProtection="1">
      <alignment horizontal="center" vertical="center"/>
      <protection/>
    </xf>
    <xf numFmtId="164" fontId="5" fillId="2" borderId="31" xfId="0" applyFont="1" applyFill="1" applyBorder="1" applyAlignment="1" applyProtection="1">
      <alignment horizontal="center" vertical="center"/>
      <protection/>
    </xf>
    <xf numFmtId="164" fontId="5" fillId="0" borderId="32" xfId="0" applyFont="1" applyFill="1" applyBorder="1" applyAlignment="1" applyProtection="1">
      <alignment horizontal="center" vertical="center"/>
      <protection/>
    </xf>
    <xf numFmtId="164" fontId="5" fillId="3" borderId="31"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164" fontId="5" fillId="0" borderId="5" xfId="0" applyNumberFormat="1" applyFont="1" applyFill="1" applyBorder="1" applyAlignment="1" applyProtection="1">
      <alignment horizontal="center" vertical="center"/>
      <protection/>
    </xf>
    <xf numFmtId="164" fontId="5" fillId="0" borderId="33" xfId="0" applyFont="1" applyFill="1" applyBorder="1" applyAlignment="1" applyProtection="1">
      <alignment horizontal="center" vertical="center"/>
      <protection/>
    </xf>
    <xf numFmtId="164" fontId="5" fillId="0" borderId="32" xfId="0" applyNumberFormat="1" applyFont="1" applyFill="1" applyBorder="1" applyAlignment="1" applyProtection="1">
      <alignment horizontal="center" vertical="center"/>
      <protection/>
    </xf>
    <xf numFmtId="164" fontId="5" fillId="0" borderId="21" xfId="0" applyNumberFormat="1" applyFont="1" applyFill="1" applyBorder="1" applyAlignment="1" applyProtection="1">
      <alignment horizontal="center" vertical="center"/>
      <protection/>
    </xf>
    <xf numFmtId="164" fontId="5" fillId="0" borderId="2" xfId="0"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166" fontId="1" fillId="5" borderId="0" xfId="0" applyNumberFormat="1" applyFont="1" applyFill="1" applyBorder="1" applyAlignment="1" applyProtection="1">
      <alignment horizontal="center" vertical="center"/>
      <protection/>
    </xf>
    <xf numFmtId="166" fontId="1" fillId="6" borderId="0" xfId="0" applyNumberFormat="1" applyFont="1" applyFill="1" applyBorder="1" applyAlignment="1" applyProtection="1">
      <alignment horizontal="center" vertical="center"/>
      <protection/>
    </xf>
    <xf numFmtId="166" fontId="1" fillId="7" borderId="0" xfId="0" applyNumberFormat="1" applyFont="1" applyFill="1" applyBorder="1" applyAlignment="1" applyProtection="1">
      <alignment horizontal="center" vertical="center"/>
      <protection/>
    </xf>
    <xf numFmtId="167" fontId="2" fillId="0" borderId="0" xfId="0" applyNumberFormat="1" applyFont="1" applyFill="1" applyBorder="1" applyAlignment="1">
      <alignment/>
    </xf>
    <xf numFmtId="164" fontId="6" fillId="0" borderId="0" xfId="0" applyFont="1" applyFill="1" applyBorder="1" applyAlignment="1" applyProtection="1">
      <alignment/>
      <protection/>
    </xf>
    <xf numFmtId="167" fontId="5" fillId="8" borderId="7" xfId="0" applyNumberFormat="1" applyFont="1" applyFill="1" applyBorder="1" applyAlignment="1" applyProtection="1">
      <alignment horizontal="right"/>
      <protection locked="0"/>
    </xf>
    <xf numFmtId="164" fontId="5" fillId="0" borderId="17" xfId="0" applyFont="1" applyFill="1" applyBorder="1" applyAlignment="1" applyProtection="1">
      <alignment horizontal="left"/>
      <protection/>
    </xf>
    <xf numFmtId="164" fontId="5" fillId="0" borderId="0" xfId="0" applyFont="1" applyFill="1" applyBorder="1" applyAlignment="1" applyProtection="1">
      <alignment horizontal="right"/>
      <protection/>
    </xf>
    <xf numFmtId="164" fontId="5" fillId="3" borderId="0" xfId="0" applyFont="1" applyFill="1" applyBorder="1" applyAlignment="1" applyProtection="1">
      <alignment horizontal="right"/>
      <protection/>
    </xf>
    <xf numFmtId="164" fontId="5" fillId="0" borderId="1" xfId="0" applyFont="1" applyFill="1" applyBorder="1" applyAlignment="1" applyProtection="1">
      <alignment horizontal="right"/>
      <protection/>
    </xf>
    <xf numFmtId="164" fontId="5" fillId="0" borderId="15" xfId="0" applyFont="1" applyFill="1" applyBorder="1" applyAlignment="1" applyProtection="1">
      <alignment horizontal="right"/>
      <protection/>
    </xf>
    <xf numFmtId="164" fontId="5" fillId="0" borderId="18" xfId="0" applyFont="1" applyFill="1" applyBorder="1" applyAlignment="1" applyProtection="1">
      <alignment horizontal="right"/>
      <protection/>
    </xf>
    <xf numFmtId="167" fontId="5" fillId="0" borderId="18" xfId="0" applyNumberFormat="1" applyFont="1" applyFill="1" applyBorder="1" applyAlignment="1" applyProtection="1">
      <alignment/>
      <protection/>
    </xf>
    <xf numFmtId="167" fontId="5" fillId="0" borderId="25" xfId="0" applyNumberFormat="1" applyFont="1" applyFill="1" applyBorder="1" applyAlignment="1" applyProtection="1">
      <alignment/>
      <protection/>
    </xf>
    <xf numFmtId="166" fontId="1" fillId="8" borderId="0" xfId="0" applyNumberFormat="1" applyFont="1" applyFill="1" applyBorder="1" applyAlignment="1" applyProtection="1">
      <alignment horizontal="right"/>
      <protection/>
    </xf>
    <xf numFmtId="167" fontId="7" fillId="0" borderId="0" xfId="0" applyNumberFormat="1" applyFont="1" applyFill="1" applyBorder="1" applyAlignment="1" applyProtection="1">
      <alignment horizontal="center"/>
      <protection/>
    </xf>
    <xf numFmtId="164" fontId="4" fillId="0" borderId="17" xfId="0" applyFont="1" applyFill="1" applyBorder="1" applyAlignment="1" applyProtection="1">
      <alignment horizontal="justify" vertical="center" wrapText="1"/>
      <protection/>
    </xf>
    <xf numFmtId="164" fontId="5" fillId="8" borderId="4" xfId="0" applyFont="1" applyFill="1" applyBorder="1" applyAlignment="1" applyProtection="1">
      <alignment/>
      <protection/>
    </xf>
    <xf numFmtId="167" fontId="5" fillId="8" borderId="5" xfId="0" applyNumberFormat="1" applyFont="1" applyFill="1" applyBorder="1" applyAlignment="1" applyProtection="1">
      <alignment horizontal="right"/>
      <protection locked="0"/>
    </xf>
    <xf numFmtId="164" fontId="0" fillId="0" borderId="16" xfId="0" applyFont="1" applyFill="1" applyBorder="1" applyAlignment="1">
      <alignment/>
    </xf>
    <xf numFmtId="164" fontId="0" fillId="0" borderId="17" xfId="0" applyFont="1" applyFill="1" applyBorder="1" applyAlignment="1">
      <alignment/>
    </xf>
    <xf numFmtId="167" fontId="5" fillId="0" borderId="1" xfId="0" applyNumberFormat="1" applyFont="1" applyFill="1" applyBorder="1" applyAlignment="1" applyProtection="1">
      <alignment horizontal="right"/>
      <protection/>
    </xf>
    <xf numFmtId="167" fontId="5" fillId="0" borderId="15" xfId="0" applyNumberFormat="1" applyFont="1" applyFill="1" applyBorder="1" applyAlignment="1" applyProtection="1">
      <alignment horizontal="right"/>
      <protection/>
    </xf>
    <xf numFmtId="167" fontId="5" fillId="0" borderId="1" xfId="0" applyNumberFormat="1" applyFont="1" applyFill="1" applyBorder="1" applyAlignment="1" applyProtection="1">
      <alignment horizontal="center"/>
      <protection/>
    </xf>
    <xf numFmtId="167" fontId="5" fillId="0" borderId="18" xfId="0" applyNumberFormat="1" applyFont="1" applyFill="1" applyBorder="1" applyAlignment="1" applyProtection="1">
      <alignment horizontal="right"/>
      <protection/>
    </xf>
    <xf numFmtId="167" fontId="5" fillId="0" borderId="25" xfId="0" applyNumberFormat="1" applyFont="1" applyFill="1" applyBorder="1" applyAlignment="1" applyProtection="1">
      <alignment horizontal="right"/>
      <protection/>
    </xf>
    <xf numFmtId="166" fontId="1" fillId="4" borderId="0" xfId="0" applyNumberFormat="1" applyFont="1" applyFill="1" applyBorder="1" applyAlignment="1" applyProtection="1">
      <alignment horizontal="right"/>
      <protection/>
    </xf>
    <xf numFmtId="166" fontId="1" fillId="5" borderId="0" xfId="0" applyNumberFormat="1" applyFont="1" applyFill="1" applyBorder="1" applyAlignment="1" applyProtection="1">
      <alignment horizontal="right"/>
      <protection/>
    </xf>
    <xf numFmtId="166" fontId="1" fillId="6" borderId="0" xfId="0" applyNumberFormat="1" applyFont="1" applyFill="1" applyBorder="1" applyAlignment="1" applyProtection="1">
      <alignment horizontal="right"/>
      <protection/>
    </xf>
    <xf numFmtId="166" fontId="1" fillId="7" borderId="0" xfId="0" applyNumberFormat="1" applyFont="1" applyFill="1" applyBorder="1" applyAlignment="1" applyProtection="1">
      <alignment horizontal="right"/>
      <protection/>
    </xf>
    <xf numFmtId="164" fontId="5" fillId="0" borderId="16" xfId="0" applyFont="1" applyFill="1" applyBorder="1" applyAlignment="1" applyProtection="1">
      <alignment horizontal="center" vertical="center" wrapText="1"/>
      <protection/>
    </xf>
    <xf numFmtId="164" fontId="5" fillId="0" borderId="17" xfId="0" applyFont="1" applyFill="1" applyBorder="1" applyAlignment="1" applyProtection="1">
      <alignment vertical="center" wrapText="1"/>
      <protection/>
    </xf>
    <xf numFmtId="164" fontId="8" fillId="0" borderId="17" xfId="0" applyFont="1" applyFill="1" applyBorder="1" applyAlignment="1" applyProtection="1">
      <alignment vertical="center" wrapText="1"/>
      <protection/>
    </xf>
    <xf numFmtId="167" fontId="5" fillId="0" borderId="2" xfId="0" applyNumberFormat="1" applyFont="1" applyFill="1" applyBorder="1" applyAlignment="1" applyProtection="1">
      <alignment horizontal="right"/>
      <protection/>
    </xf>
    <xf numFmtId="166" fontId="9" fillId="7" borderId="0" xfId="0" applyNumberFormat="1" applyFont="1" applyFill="1" applyBorder="1" applyAlignment="1" applyProtection="1">
      <alignment horizontal="right"/>
      <protection/>
    </xf>
    <xf numFmtId="164" fontId="6" fillId="0" borderId="3" xfId="0" applyFont="1" applyFill="1" applyBorder="1" applyAlignment="1">
      <alignment/>
    </xf>
    <xf numFmtId="164" fontId="8" fillId="0" borderId="17" xfId="0" applyFont="1" applyFill="1" applyBorder="1" applyAlignment="1" applyProtection="1">
      <alignment/>
      <protection/>
    </xf>
    <xf numFmtId="167" fontId="5" fillId="0" borderId="25" xfId="0" applyNumberFormat="1" applyFont="1" applyFill="1" applyBorder="1" applyAlignment="1" applyProtection="1">
      <alignment horizontal="center"/>
      <protection/>
    </xf>
    <xf numFmtId="167" fontId="7" fillId="0" borderId="0" xfId="0" applyNumberFormat="1" applyFont="1" applyFill="1" applyBorder="1" applyAlignment="1">
      <alignment horizontal="center"/>
    </xf>
    <xf numFmtId="164" fontId="4" fillId="0" borderId="0" xfId="0" applyFont="1" applyFill="1" applyBorder="1" applyAlignment="1" applyProtection="1">
      <alignment horizontal="left"/>
      <protection/>
    </xf>
    <xf numFmtId="172" fontId="4" fillId="0" borderId="0" xfId="0" applyNumberFormat="1" applyFont="1" applyFill="1" applyBorder="1" applyAlignment="1" applyProtection="1">
      <alignment horizontal="center"/>
      <protection/>
    </xf>
    <xf numFmtId="164" fontId="4" fillId="0" borderId="0" xfId="0" applyFont="1" applyFill="1" applyBorder="1" applyAlignment="1" applyProtection="1">
      <alignment/>
      <protection/>
    </xf>
    <xf numFmtId="164" fontId="4" fillId="0" borderId="17" xfId="0" applyFont="1" applyFill="1" applyBorder="1" applyAlignment="1" applyProtection="1">
      <alignment/>
      <protection/>
    </xf>
    <xf numFmtId="167" fontId="5" fillId="0" borderId="2" xfId="0" applyNumberFormat="1" applyFont="1" applyFill="1" applyBorder="1" applyAlignment="1" applyProtection="1">
      <alignment horizontal="center"/>
      <protection/>
    </xf>
    <xf numFmtId="165" fontId="10" fillId="0" borderId="3" xfId="0" applyNumberFormat="1" applyFont="1" applyFill="1" applyBorder="1" applyAlignment="1">
      <alignment horizontal="center"/>
    </xf>
    <xf numFmtId="164" fontId="5" fillId="0" borderId="3" xfId="0" applyFont="1" applyFill="1" applyBorder="1" applyAlignment="1" applyProtection="1">
      <alignment/>
      <protection locked="0"/>
    </xf>
    <xf numFmtId="164" fontId="5" fillId="0" borderId="0" xfId="0" applyFont="1" applyFill="1" applyBorder="1" applyAlignment="1" applyProtection="1">
      <alignment/>
      <protection locked="0"/>
    </xf>
    <xf numFmtId="170" fontId="5" fillId="0" borderId="3" xfId="0" applyNumberFormat="1" applyFont="1" applyFill="1" applyBorder="1" applyAlignment="1" applyProtection="1">
      <alignment horizontal="center"/>
      <protection/>
    </xf>
    <xf numFmtId="164" fontId="6" fillId="0" borderId="3" xfId="0" applyFont="1" applyFill="1" applyBorder="1" applyAlignment="1" applyProtection="1">
      <alignment/>
      <protection/>
    </xf>
    <xf numFmtId="167" fontId="6" fillId="0" borderId="0" xfId="0" applyNumberFormat="1" applyFont="1" applyFill="1" applyBorder="1" applyAlignment="1" applyProtection="1">
      <alignment/>
      <protection/>
    </xf>
    <xf numFmtId="164" fontId="6" fillId="0" borderId="0" xfId="0" applyFont="1" applyFill="1" applyBorder="1" applyAlignment="1" applyProtection="1">
      <alignment horizontal="center"/>
      <protection/>
    </xf>
    <xf numFmtId="164" fontId="6" fillId="0" borderId="3" xfId="0" applyFont="1" applyFill="1" applyBorder="1" applyAlignment="1">
      <alignment horizontal="center"/>
    </xf>
    <xf numFmtId="164" fontId="6" fillId="0" borderId="0" xfId="0" applyFont="1" applyFill="1" applyBorder="1" applyAlignment="1">
      <alignment/>
    </xf>
    <xf numFmtId="164" fontId="6" fillId="0" borderId="0" xfId="0" applyFont="1" applyFill="1" applyBorder="1" applyAlignment="1">
      <alignment horizontal="center"/>
    </xf>
    <xf numFmtId="164" fontId="5" fillId="0" borderId="17" xfId="0" applyFont="1" applyFill="1" applyBorder="1" applyAlignment="1" applyProtection="1">
      <alignment/>
      <protection/>
    </xf>
    <xf numFmtId="173" fontId="5" fillId="3" borderId="0" xfId="0" applyNumberFormat="1" applyFont="1" applyFill="1" applyBorder="1" applyAlignment="1" applyProtection="1">
      <alignment horizontal="right"/>
      <protection/>
    </xf>
    <xf numFmtId="170" fontId="5" fillId="0" borderId="0" xfId="0" applyNumberFormat="1" applyFont="1" applyFill="1" applyBorder="1" applyAlignment="1" applyProtection="1">
      <alignment horizontal="center"/>
      <protection/>
    </xf>
    <xf numFmtId="164" fontId="5" fillId="0" borderId="17" xfId="0" applyFont="1" applyFill="1" applyBorder="1" applyAlignment="1">
      <alignment/>
    </xf>
    <xf numFmtId="164" fontId="8" fillId="0" borderId="17" xfId="0" applyFont="1" applyFill="1" applyBorder="1" applyAlignment="1" applyProtection="1">
      <alignment horizontal="justify" vertical="center" wrapText="1"/>
      <protection/>
    </xf>
    <xf numFmtId="164" fontId="0" fillId="0" borderId="17" xfId="0" applyFont="1" applyFill="1" applyBorder="1" applyAlignment="1">
      <alignment horizontal="justify" vertical="center" wrapText="1"/>
    </xf>
    <xf numFmtId="168" fontId="5" fillId="0" borderId="17" xfId="0" applyNumberFormat="1" applyFont="1" applyFill="1" applyBorder="1" applyAlignment="1" applyProtection="1">
      <alignment/>
      <protection/>
    </xf>
    <xf numFmtId="164" fontId="5" fillId="0" borderId="15" xfId="0" applyFont="1" applyFill="1" applyBorder="1" applyAlignment="1" applyProtection="1">
      <alignment horizontal="center"/>
      <protection/>
    </xf>
    <xf numFmtId="167" fontId="5" fillId="0" borderId="0" xfId="0" applyNumberFormat="1" applyFont="1" applyFill="1" applyBorder="1" applyAlignment="1" applyProtection="1">
      <alignment horizontal="right"/>
      <protection/>
    </xf>
    <xf numFmtId="166" fontId="9" fillId="7" borderId="0" xfId="0" applyNumberFormat="1" applyFont="1" applyFill="1" applyBorder="1" applyAlignment="1" applyProtection="1">
      <alignment/>
      <protection/>
    </xf>
    <xf numFmtId="167" fontId="5" fillId="0" borderId="1" xfId="0" applyNumberFormat="1" applyFont="1" applyFill="1" applyBorder="1" applyAlignment="1" applyProtection="1">
      <alignment/>
      <protection locked="0"/>
    </xf>
    <xf numFmtId="167" fontId="5" fillId="0" borderId="25" xfId="0" applyNumberFormat="1" applyFont="1" applyFill="1" applyBorder="1" applyAlignment="1" applyProtection="1">
      <alignment horizontal="right"/>
      <protection/>
    </xf>
    <xf numFmtId="164" fontId="5" fillId="0" borderId="34" xfId="0" applyFont="1" applyFill="1" applyBorder="1" applyAlignment="1" applyProtection="1">
      <alignment horizontal="center"/>
      <protection/>
    </xf>
    <xf numFmtId="164" fontId="5" fillId="0" borderId="35" xfId="0" applyFont="1" applyFill="1" applyBorder="1" applyAlignment="1" applyProtection="1">
      <alignment/>
      <protection/>
    </xf>
    <xf numFmtId="168" fontId="5" fillId="0" borderId="36" xfId="0" applyNumberFormat="1" applyFont="1" applyFill="1" applyBorder="1" applyAlignment="1" applyProtection="1">
      <alignment/>
      <protection/>
    </xf>
    <xf numFmtId="164" fontId="5" fillId="0" borderId="37" xfId="0" applyFont="1" applyBorder="1" applyAlignment="1" applyProtection="1">
      <alignment horizontal="center"/>
      <protection/>
    </xf>
    <xf numFmtId="165" fontId="5" fillId="0" borderId="38" xfId="0" applyNumberFormat="1" applyFont="1" applyFill="1" applyBorder="1" applyAlignment="1" applyProtection="1">
      <alignment horizontal="right"/>
      <protection/>
    </xf>
    <xf numFmtId="164" fontId="5" fillId="0" borderId="35" xfId="0" applyFont="1" applyFill="1" applyBorder="1" applyAlignment="1" applyProtection="1">
      <alignment horizontal="right"/>
      <protection/>
    </xf>
    <xf numFmtId="164" fontId="5" fillId="2" borderId="39" xfId="0" applyFont="1" applyFill="1" applyBorder="1" applyAlignment="1" applyProtection="1">
      <alignment horizontal="center"/>
      <protection/>
    </xf>
    <xf numFmtId="164" fontId="5" fillId="2" borderId="35" xfId="0" applyFont="1" applyFill="1" applyBorder="1" applyAlignment="1" applyProtection="1">
      <alignment horizontal="center"/>
      <protection/>
    </xf>
    <xf numFmtId="164" fontId="5" fillId="0" borderId="37" xfId="0" applyFont="1" applyFill="1" applyBorder="1" applyAlignment="1" applyProtection="1">
      <alignment horizontal="center"/>
      <protection/>
    </xf>
    <xf numFmtId="164" fontId="5" fillId="3" borderId="35" xfId="0" applyFont="1" applyFill="1" applyBorder="1" applyAlignment="1" applyProtection="1">
      <alignment horizontal="right"/>
      <protection/>
    </xf>
    <xf numFmtId="167" fontId="5" fillId="0" borderId="38" xfId="0" applyNumberFormat="1" applyFont="1" applyFill="1" applyBorder="1" applyAlignment="1" applyProtection="1">
      <alignment horizontal="right"/>
      <protection/>
    </xf>
    <xf numFmtId="167" fontId="5" fillId="0" borderId="39" xfId="0" applyNumberFormat="1" applyFont="1" applyFill="1" applyBorder="1" applyAlignment="1" applyProtection="1">
      <alignment horizontal="right"/>
      <protection/>
    </xf>
    <xf numFmtId="167" fontId="5" fillId="0" borderId="38" xfId="0" applyNumberFormat="1" applyFont="1" applyFill="1" applyBorder="1" applyAlignment="1" applyProtection="1">
      <alignment horizontal="center"/>
      <protection/>
    </xf>
    <xf numFmtId="167" fontId="5" fillId="0" borderId="37" xfId="0" applyNumberFormat="1" applyFont="1" applyFill="1" applyBorder="1" applyAlignment="1" applyProtection="1">
      <alignment horizontal="center"/>
      <protection/>
    </xf>
    <xf numFmtId="167" fontId="5" fillId="0" borderId="40" xfId="0" applyNumberFormat="1" applyFont="1" applyFill="1" applyBorder="1" applyAlignment="1" applyProtection="1">
      <alignment horizontal="center"/>
      <protection/>
    </xf>
    <xf numFmtId="166" fontId="1" fillId="0" borderId="0" xfId="0" applyNumberFormat="1" applyFont="1" applyFill="1" applyBorder="1" applyAlignment="1">
      <alignment horizontal="right"/>
    </xf>
    <xf numFmtId="164" fontId="5" fillId="0" borderId="41" xfId="0" applyFont="1" applyFill="1" applyBorder="1" applyAlignment="1" applyProtection="1">
      <alignment horizontal="center"/>
      <protection/>
    </xf>
    <xf numFmtId="164" fontId="5" fillId="0" borderId="23" xfId="0" applyFont="1" applyFill="1" applyBorder="1" applyAlignment="1" applyProtection="1">
      <alignment/>
      <protection/>
    </xf>
    <xf numFmtId="164" fontId="11" fillId="0" borderId="22" xfId="0" applyFont="1" applyFill="1" applyBorder="1" applyAlignment="1" applyProtection="1">
      <alignment/>
      <protection/>
    </xf>
    <xf numFmtId="164" fontId="5" fillId="0" borderId="19" xfId="0" applyFont="1" applyBorder="1" applyAlignment="1" applyProtection="1">
      <alignment horizontal="center"/>
      <protection/>
    </xf>
    <xf numFmtId="165" fontId="5" fillId="0" borderId="20" xfId="0" applyNumberFormat="1" applyFont="1" applyFill="1" applyBorder="1" applyAlignment="1" applyProtection="1">
      <alignment horizontal="right"/>
      <protection/>
    </xf>
    <xf numFmtId="164" fontId="5" fillId="0" borderId="23" xfId="0" applyFont="1" applyFill="1" applyBorder="1" applyAlignment="1" applyProtection="1">
      <alignment horizontal="right"/>
      <protection/>
    </xf>
    <xf numFmtId="164" fontId="5" fillId="0" borderId="19" xfId="0" applyFont="1" applyFill="1" applyBorder="1" applyAlignment="1" applyProtection="1">
      <alignment horizontal="center"/>
      <protection/>
    </xf>
    <xf numFmtId="164" fontId="5" fillId="3" borderId="23" xfId="0" applyFont="1" applyFill="1" applyBorder="1" applyAlignment="1" applyProtection="1">
      <alignment horizontal="right"/>
      <protection/>
    </xf>
    <xf numFmtId="167" fontId="5" fillId="0" borderId="20" xfId="0" applyNumberFormat="1" applyFont="1" applyFill="1" applyBorder="1" applyAlignment="1" applyProtection="1">
      <alignment horizontal="right"/>
      <protection/>
    </xf>
    <xf numFmtId="167" fontId="5" fillId="0" borderId="7" xfId="0" applyNumberFormat="1" applyFont="1" applyFill="1" applyBorder="1" applyAlignment="1" applyProtection="1">
      <alignment horizontal="right"/>
      <protection/>
    </xf>
    <xf numFmtId="167" fontId="5" fillId="0" borderId="20" xfId="0" applyNumberFormat="1" applyFont="1" applyFill="1" applyBorder="1" applyAlignment="1" applyProtection="1">
      <alignment horizontal="center"/>
      <protection/>
    </xf>
    <xf numFmtId="167" fontId="5" fillId="0" borderId="42" xfId="0" applyNumberFormat="1" applyFont="1" applyFill="1" applyBorder="1" applyAlignment="1" applyProtection="1">
      <alignment horizontal="right"/>
      <protection/>
    </xf>
    <xf numFmtId="167" fontId="5" fillId="3" borderId="0" xfId="0" applyNumberFormat="1" applyFont="1" applyFill="1" applyBorder="1" applyAlignment="1" applyProtection="1">
      <alignment horizontal="right"/>
      <protection/>
    </xf>
    <xf numFmtId="167" fontId="5" fillId="0" borderId="42" xfId="0" applyNumberFormat="1" applyFont="1" applyFill="1" applyBorder="1" applyAlignment="1" applyProtection="1">
      <alignment horizontal="center"/>
      <protection/>
    </xf>
    <xf numFmtId="170" fontId="5" fillId="3" borderId="0" xfId="0" applyNumberFormat="1" applyFont="1" applyFill="1" applyBorder="1" applyAlignment="1" applyProtection="1">
      <alignment horizontal="right"/>
      <protection/>
    </xf>
    <xf numFmtId="164" fontId="5" fillId="0" borderId="14" xfId="0" applyFont="1" applyFill="1" applyBorder="1" applyAlignment="1" applyProtection="1">
      <alignment/>
      <protection/>
    </xf>
    <xf numFmtId="166" fontId="1" fillId="0" borderId="0" xfId="0" applyNumberFormat="1" applyFont="1" applyFill="1" applyBorder="1" applyAlignment="1" applyProtection="1">
      <alignment horizontal="right" vertical="center"/>
      <protection/>
    </xf>
    <xf numFmtId="164" fontId="6" fillId="0" borderId="0" xfId="0" applyFont="1" applyFill="1" applyBorder="1" applyAlignment="1" applyProtection="1">
      <alignment vertical="center"/>
      <protection/>
    </xf>
    <xf numFmtId="164" fontId="2" fillId="0" borderId="0" xfId="0" applyFont="1" applyFill="1" applyBorder="1" applyAlignment="1" applyProtection="1">
      <alignment vertical="center"/>
      <protection/>
    </xf>
    <xf numFmtId="164" fontId="2" fillId="0" borderId="0" xfId="0" applyFont="1" applyFill="1" applyBorder="1" applyAlignment="1">
      <alignment vertical="center"/>
    </xf>
    <xf numFmtId="167" fontId="6" fillId="0" borderId="0" xfId="0" applyNumberFormat="1" applyFont="1" applyFill="1" applyBorder="1" applyAlignment="1" applyProtection="1">
      <alignment vertical="center"/>
      <protection/>
    </xf>
    <xf numFmtId="164" fontId="2" fillId="0" borderId="0" xfId="0" applyFont="1" applyFill="1" applyBorder="1" applyAlignment="1">
      <alignment horizontal="center" vertical="center"/>
    </xf>
    <xf numFmtId="167" fontId="6" fillId="0" borderId="0" xfId="0" applyNumberFormat="1" applyFont="1" applyFill="1" applyBorder="1" applyAlignment="1" applyProtection="1">
      <alignment horizontal="center" vertical="center"/>
      <protection/>
    </xf>
    <xf numFmtId="164" fontId="5" fillId="0" borderId="16" xfId="0" applyFont="1" applyFill="1" applyBorder="1" applyAlignment="1" applyProtection="1">
      <alignment horizontal="center" vertical="center"/>
      <protection/>
    </xf>
    <xf numFmtId="164" fontId="5" fillId="0" borderId="0" xfId="0" applyFont="1" applyFill="1" applyBorder="1" applyAlignment="1" applyProtection="1">
      <alignment vertical="center"/>
      <protection/>
    </xf>
    <xf numFmtId="164" fontId="5" fillId="0" borderId="18" xfId="0" applyFont="1" applyBorder="1" applyAlignment="1" applyProtection="1">
      <alignment horizontal="center" vertical="center"/>
      <protection/>
    </xf>
    <xf numFmtId="165" fontId="5" fillId="0" borderId="1" xfId="0" applyNumberFormat="1" applyFont="1" applyFill="1" applyBorder="1" applyAlignment="1" applyProtection="1">
      <alignment horizontal="right" vertical="center"/>
      <protection/>
    </xf>
    <xf numFmtId="164" fontId="5" fillId="0" borderId="0" xfId="0" applyFont="1" applyFill="1" applyBorder="1" applyAlignment="1" applyProtection="1">
      <alignment horizontal="right" vertical="center"/>
      <protection/>
    </xf>
    <xf numFmtId="164" fontId="5" fillId="2" borderId="15" xfId="0" applyFont="1" applyFill="1" applyBorder="1" applyAlignment="1" applyProtection="1">
      <alignment horizontal="center" vertical="center"/>
      <protection/>
    </xf>
    <xf numFmtId="164" fontId="5" fillId="2" borderId="0" xfId="0" applyFont="1" applyFill="1" applyBorder="1" applyAlignment="1" applyProtection="1">
      <alignment horizontal="center" vertical="center"/>
      <protection/>
    </xf>
    <xf numFmtId="164" fontId="5" fillId="0" borderId="18" xfId="0" applyFont="1" applyFill="1" applyBorder="1" applyAlignment="1" applyProtection="1">
      <alignment horizontal="center" vertical="center"/>
      <protection/>
    </xf>
    <xf numFmtId="164" fontId="5" fillId="3" borderId="0" xfId="0" applyFont="1" applyFill="1" applyBorder="1" applyAlignment="1" applyProtection="1">
      <alignment horizontal="right" vertical="center"/>
      <protection/>
    </xf>
    <xf numFmtId="167" fontId="5" fillId="0" borderId="1" xfId="0" applyNumberFormat="1" applyFont="1" applyFill="1" applyBorder="1" applyAlignment="1" applyProtection="1">
      <alignment horizontal="right" vertical="center"/>
      <protection/>
    </xf>
    <xf numFmtId="167" fontId="5" fillId="0" borderId="15" xfId="0" applyNumberFormat="1" applyFont="1" applyFill="1" applyBorder="1" applyAlignment="1" applyProtection="1">
      <alignment horizontal="right" vertical="center"/>
      <protection/>
    </xf>
    <xf numFmtId="167" fontId="5" fillId="0" borderId="1" xfId="0" applyNumberFormat="1" applyFont="1" applyFill="1" applyBorder="1" applyAlignment="1" applyProtection="1">
      <alignment horizontal="center" vertical="center"/>
      <protection/>
    </xf>
    <xf numFmtId="167" fontId="5" fillId="0" borderId="42" xfId="0" applyNumberFormat="1" applyFont="1" applyFill="1" applyBorder="1" applyAlignment="1" applyProtection="1">
      <alignment horizontal="right" vertical="center"/>
      <protection/>
    </xf>
    <xf numFmtId="167" fontId="5" fillId="0" borderId="18" xfId="0" applyNumberFormat="1" applyFont="1" applyFill="1" applyBorder="1" applyAlignment="1" applyProtection="1">
      <alignment vertical="center"/>
      <protection/>
    </xf>
    <xf numFmtId="167" fontId="5" fillId="0" borderId="25" xfId="0" applyNumberFormat="1" applyFont="1" applyFill="1" applyBorder="1" applyAlignment="1" applyProtection="1">
      <alignment vertical="center"/>
      <protection/>
    </xf>
    <xf numFmtId="166" fontId="1" fillId="8" borderId="0" xfId="0" applyNumberFormat="1" applyFont="1" applyFill="1" applyBorder="1" applyAlignment="1" applyProtection="1">
      <alignment vertical="center"/>
      <protection/>
    </xf>
    <xf numFmtId="164" fontId="4" fillId="0" borderId="17" xfId="0" applyFont="1" applyFill="1" applyBorder="1" applyAlignment="1" applyProtection="1">
      <alignment vertical="center"/>
      <protection/>
    </xf>
    <xf numFmtId="164" fontId="8" fillId="0" borderId="17" xfId="0" applyFont="1" applyFill="1" applyBorder="1" applyAlignment="1" applyProtection="1">
      <alignment horizontal="left"/>
      <protection/>
    </xf>
    <xf numFmtId="166" fontId="1" fillId="4" borderId="0" xfId="0" applyNumberFormat="1" applyFont="1" applyFill="1" applyBorder="1" applyAlignment="1" applyProtection="1">
      <alignment vertical="center"/>
      <protection/>
    </xf>
    <xf numFmtId="166" fontId="1" fillId="5" borderId="0" xfId="0" applyNumberFormat="1" applyFont="1" applyFill="1" applyBorder="1" applyAlignment="1" applyProtection="1">
      <alignment vertical="center"/>
      <protection/>
    </xf>
    <xf numFmtId="166" fontId="1" fillId="6" borderId="0" xfId="0" applyNumberFormat="1" applyFont="1" applyFill="1" applyBorder="1" applyAlignment="1" applyProtection="1">
      <alignment vertical="center"/>
      <protection/>
    </xf>
    <xf numFmtId="166" fontId="1" fillId="7" borderId="0" xfId="0" applyNumberFormat="1" applyFont="1" applyFill="1" applyBorder="1" applyAlignment="1" applyProtection="1">
      <alignment vertical="center"/>
      <protection/>
    </xf>
    <xf numFmtId="164" fontId="5" fillId="0" borderId="2" xfId="0" applyFont="1" applyFill="1" applyBorder="1" applyAlignment="1" applyProtection="1">
      <alignment vertical="center"/>
      <protection/>
    </xf>
    <xf numFmtId="166" fontId="9" fillId="7" borderId="0" xfId="0" applyNumberFormat="1" applyFont="1" applyFill="1" applyBorder="1" applyAlignment="1" applyProtection="1">
      <alignment vertical="center"/>
      <protection/>
    </xf>
    <xf numFmtId="166" fontId="9" fillId="7" borderId="0" xfId="0" applyNumberFormat="1" applyFont="1" applyFill="1" applyBorder="1" applyAlignment="1" applyProtection="1">
      <alignment horizontal="center"/>
      <protection/>
    </xf>
    <xf numFmtId="164" fontId="5" fillId="0" borderId="39" xfId="0" applyFont="1" applyFill="1" applyBorder="1" applyAlignment="1" applyProtection="1">
      <alignment horizontal="center"/>
      <protection/>
    </xf>
    <xf numFmtId="164" fontId="5" fillId="0" borderId="35" xfId="0" applyFont="1" applyFill="1" applyBorder="1" applyAlignment="1" applyProtection="1">
      <alignment horizontal="center"/>
      <protection/>
    </xf>
    <xf numFmtId="167" fontId="5" fillId="0" borderId="43" xfId="0" applyNumberFormat="1" applyFont="1" applyFill="1" applyBorder="1" applyAlignment="1" applyProtection="1">
      <alignment horizontal="center"/>
      <protection/>
    </xf>
    <xf numFmtId="166" fontId="1" fillId="0" borderId="0" xfId="0" applyNumberFormat="1" applyFont="1" applyFill="1" applyBorder="1" applyAlignment="1" applyProtection="1">
      <alignment horizontal="center"/>
      <protection/>
    </xf>
    <xf numFmtId="164" fontId="4" fillId="0" borderId="22" xfId="0" applyFont="1" applyFill="1" applyBorder="1" applyAlignment="1" applyProtection="1">
      <alignment horizontal="justify" vertical="center" wrapText="1"/>
      <protection/>
    </xf>
    <xf numFmtId="167" fontId="5" fillId="0" borderId="24" xfId="0" applyNumberFormat="1" applyFont="1" applyFill="1" applyBorder="1" applyAlignment="1" applyProtection="1">
      <alignment horizontal="center"/>
      <protection/>
    </xf>
    <xf numFmtId="164" fontId="8" fillId="0" borderId="17" xfId="0" applyFont="1" applyFill="1" applyBorder="1" applyAlignment="1" applyProtection="1">
      <alignment vertical="center"/>
      <protection/>
    </xf>
    <xf numFmtId="167" fontId="5" fillId="0" borderId="18" xfId="0" applyNumberFormat="1" applyFont="1" applyFill="1" applyBorder="1" applyAlignment="1" applyProtection="1">
      <alignment horizontal="right" vertical="center"/>
      <protection/>
    </xf>
    <xf numFmtId="167" fontId="5" fillId="0" borderId="18" xfId="0" applyNumberFormat="1" applyFont="1" applyFill="1" applyBorder="1" applyAlignment="1" applyProtection="1">
      <alignment horizontal="center" vertical="center"/>
      <protection/>
    </xf>
    <xf numFmtId="167" fontId="5" fillId="0" borderId="25" xfId="0" applyNumberFormat="1" applyFont="1" applyFill="1" applyBorder="1" applyAlignment="1" applyProtection="1">
      <alignment horizontal="center" vertical="center"/>
      <protection/>
    </xf>
    <xf numFmtId="167" fontId="2" fillId="0" borderId="0" xfId="0" applyNumberFormat="1" applyFont="1" applyFill="1" applyBorder="1" applyAlignment="1" applyProtection="1">
      <alignment vertical="center"/>
      <protection/>
    </xf>
    <xf numFmtId="164" fontId="2" fillId="0" borderId="0" xfId="0" applyFont="1" applyFill="1" applyBorder="1" applyAlignment="1" applyProtection="1">
      <alignment horizontal="center" vertical="center"/>
      <protection/>
    </xf>
    <xf numFmtId="167" fontId="5" fillId="0" borderId="15" xfId="0" applyNumberFormat="1" applyFont="1" applyFill="1" applyBorder="1" applyAlignment="1" applyProtection="1">
      <alignment horizontal="center"/>
      <protection/>
    </xf>
    <xf numFmtId="164" fontId="2" fillId="0" borderId="17" xfId="0" applyFont="1" applyFill="1" applyBorder="1" applyAlignment="1">
      <alignment/>
    </xf>
    <xf numFmtId="164" fontId="12" fillId="0" borderId="16" xfId="0" applyFont="1" applyFill="1" applyBorder="1" applyAlignment="1">
      <alignment horizontal="center"/>
    </xf>
    <xf numFmtId="166" fontId="0" fillId="7" borderId="0" xfId="0" applyNumberFormat="1" applyFont="1" applyFill="1" applyBorder="1" applyAlignment="1">
      <alignment/>
    </xf>
    <xf numFmtId="164" fontId="2" fillId="0" borderId="18" xfId="0" applyFont="1" applyBorder="1" applyAlignment="1">
      <alignment/>
    </xf>
    <xf numFmtId="165" fontId="2" fillId="0" borderId="1" xfId="0" applyNumberFormat="1" applyFont="1" applyFill="1" applyBorder="1" applyAlignment="1">
      <alignment horizontal="right"/>
    </xf>
    <xf numFmtId="164" fontId="2" fillId="2" borderId="0" xfId="0" applyFont="1" applyFill="1" applyBorder="1" applyAlignment="1">
      <alignment/>
    </xf>
    <xf numFmtId="164" fontId="2" fillId="0" borderId="18" xfId="0" applyFont="1" applyFill="1" applyBorder="1" applyAlignment="1">
      <alignment/>
    </xf>
    <xf numFmtId="164" fontId="2" fillId="3" borderId="0" xfId="0" applyFont="1" applyFill="1" applyBorder="1" applyAlignment="1">
      <alignment/>
    </xf>
    <xf numFmtId="164" fontId="2" fillId="0" borderId="1" xfId="0" applyFont="1" applyFill="1" applyBorder="1" applyAlignment="1">
      <alignment/>
    </xf>
    <xf numFmtId="164" fontId="2" fillId="0" borderId="15" xfId="0" applyFont="1" applyFill="1" applyBorder="1" applyAlignment="1">
      <alignment/>
    </xf>
    <xf numFmtId="164" fontId="2" fillId="0" borderId="1" xfId="0" applyFont="1" applyFill="1" applyBorder="1" applyAlignment="1">
      <alignment horizontal="center"/>
    </xf>
    <xf numFmtId="167" fontId="2" fillId="0" borderId="18" xfId="0" applyNumberFormat="1" applyFont="1" applyFill="1" applyBorder="1" applyAlignment="1">
      <alignment/>
    </xf>
    <xf numFmtId="167" fontId="2" fillId="0" borderId="25" xfId="0" applyNumberFormat="1" applyFont="1" applyFill="1" applyBorder="1" applyAlignment="1">
      <alignment/>
    </xf>
    <xf numFmtId="166" fontId="9" fillId="8" borderId="0" xfId="0" applyNumberFormat="1" applyFont="1" applyFill="1" applyBorder="1" applyAlignment="1" applyProtection="1">
      <alignment horizontal="right"/>
      <protection/>
    </xf>
    <xf numFmtId="166" fontId="5" fillId="8" borderId="0" xfId="0" applyNumberFormat="1" applyFont="1" applyFill="1" applyBorder="1" applyAlignment="1" applyProtection="1">
      <alignment horizontal="right" vertical="center"/>
      <protection/>
    </xf>
    <xf numFmtId="166" fontId="5" fillId="8" borderId="0" xfId="0" applyNumberFormat="1" applyFont="1" applyFill="1" applyBorder="1" applyAlignment="1" applyProtection="1">
      <alignment horizontal="right"/>
      <protection/>
    </xf>
    <xf numFmtId="166" fontId="5" fillId="0" borderId="0" xfId="0" applyNumberFormat="1" applyFont="1" applyFill="1" applyBorder="1" applyAlignment="1" applyProtection="1">
      <alignment horizontal="right"/>
      <protection/>
    </xf>
    <xf numFmtId="164" fontId="2" fillId="0" borderId="0" xfId="0" applyFont="1" applyBorder="1" applyAlignment="1">
      <alignment/>
    </xf>
    <xf numFmtId="164" fontId="5" fillId="0" borderId="0" xfId="0" applyFont="1" applyFill="1" applyBorder="1" applyAlignment="1" applyProtection="1">
      <alignment/>
      <protection/>
    </xf>
    <xf numFmtId="165" fontId="5" fillId="3" borderId="0" xfId="0" applyNumberFormat="1" applyFont="1" applyFill="1" applyBorder="1" applyAlignment="1" applyProtection="1">
      <alignment horizontal="right"/>
      <protection/>
    </xf>
    <xf numFmtId="167" fontId="5" fillId="0" borderId="1" xfId="0" applyNumberFormat="1" applyFont="1" applyFill="1" applyBorder="1" applyAlignment="1" applyProtection="1">
      <alignment horizontal="right"/>
      <protection/>
    </xf>
    <xf numFmtId="167" fontId="5" fillId="0" borderId="15" xfId="0" applyNumberFormat="1" applyFont="1" applyFill="1" applyBorder="1" applyAlignment="1" applyProtection="1">
      <alignment horizontal="right"/>
      <protection/>
    </xf>
    <xf numFmtId="167" fontId="5" fillId="0" borderId="1" xfId="0" applyNumberFormat="1" applyFont="1" applyFill="1" applyBorder="1" applyAlignment="1" applyProtection="1">
      <alignment horizontal="center"/>
      <protection/>
    </xf>
    <xf numFmtId="166" fontId="1" fillId="0" borderId="0" xfId="0" applyNumberFormat="1" applyFont="1" applyFill="1" applyBorder="1" applyAlignment="1" applyProtection="1">
      <alignment/>
      <protection/>
    </xf>
    <xf numFmtId="164" fontId="5" fillId="0" borderId="9" xfId="0" applyFont="1" applyFill="1" applyBorder="1" applyAlignment="1" applyProtection="1">
      <alignment horizontal="center" vertical="center"/>
      <protection/>
    </xf>
    <xf numFmtId="164" fontId="5" fillId="0" borderId="9" xfId="0" applyFont="1" applyFill="1" applyBorder="1" applyAlignment="1" applyProtection="1">
      <alignment vertical="center"/>
      <protection/>
    </xf>
    <xf numFmtId="168" fontId="5" fillId="0" borderId="9" xfId="0" applyNumberFormat="1" applyFont="1" applyFill="1" applyBorder="1" applyAlignment="1" applyProtection="1">
      <alignment horizontal="right"/>
      <protection/>
    </xf>
    <xf numFmtId="167" fontId="5" fillId="0" borderId="9" xfId="0" applyNumberFormat="1" applyFont="1" applyBorder="1" applyAlignment="1" applyProtection="1">
      <alignment/>
      <protection/>
    </xf>
    <xf numFmtId="165" fontId="5" fillId="0" borderId="9" xfId="0" applyNumberFormat="1" applyFont="1" applyBorder="1" applyAlignment="1" applyProtection="1">
      <alignment horizontal="left"/>
      <protection/>
    </xf>
    <xf numFmtId="164" fontId="5" fillId="0" borderId="9" xfId="0" applyFont="1" applyFill="1" applyBorder="1" applyAlignment="1" applyProtection="1">
      <alignment horizontal="right" vertical="center"/>
      <protection/>
    </xf>
    <xf numFmtId="164" fontId="5" fillId="2" borderId="9" xfId="0" applyFont="1" applyFill="1" applyBorder="1" applyAlignment="1" applyProtection="1">
      <alignment horizontal="center" vertical="center"/>
      <protection/>
    </xf>
    <xf numFmtId="164" fontId="2" fillId="0" borderId="9" xfId="0" applyFont="1" applyBorder="1" applyAlignment="1">
      <alignment/>
    </xf>
    <xf numFmtId="174" fontId="5" fillId="3" borderId="9" xfId="0" applyNumberFormat="1" applyFont="1" applyFill="1" applyBorder="1" applyAlignment="1" applyProtection="1">
      <alignment horizontal="left"/>
      <protection/>
    </xf>
    <xf numFmtId="164" fontId="5" fillId="3" borderId="9" xfId="0" applyFont="1" applyFill="1" applyBorder="1" applyAlignment="1" applyProtection="1">
      <alignment horizontal="right" vertical="center"/>
      <protection/>
    </xf>
    <xf numFmtId="167" fontId="5" fillId="0" borderId="9" xfId="0" applyNumberFormat="1" applyFont="1" applyFill="1" applyBorder="1" applyAlignment="1" applyProtection="1">
      <alignment horizontal="right" vertical="center"/>
      <protection/>
    </xf>
    <xf numFmtId="167" fontId="5" fillId="0" borderId="9" xfId="0" applyNumberFormat="1" applyFont="1" applyFill="1" applyBorder="1" applyAlignment="1" applyProtection="1">
      <alignment horizontal="center" vertical="center"/>
      <protection/>
    </xf>
    <xf numFmtId="167" fontId="5" fillId="0" borderId="9" xfId="0" applyNumberFormat="1" applyFont="1" applyFill="1" applyBorder="1" applyAlignment="1" applyProtection="1">
      <alignment horizontal="center"/>
      <protection/>
    </xf>
    <xf numFmtId="164" fontId="5" fillId="0" borderId="9" xfId="0" applyFont="1" applyFill="1" applyBorder="1" applyAlignment="1">
      <alignment/>
    </xf>
    <xf numFmtId="167" fontId="5" fillId="0" borderId="9" xfId="0" applyNumberFormat="1" applyFont="1" applyFill="1" applyBorder="1" applyAlignment="1" applyProtection="1">
      <alignment horizontal="right"/>
      <protection/>
    </xf>
    <xf numFmtId="167" fontId="5" fillId="4" borderId="9" xfId="0" applyNumberFormat="1" applyFont="1" applyFill="1" applyBorder="1" applyAlignment="1" applyProtection="1">
      <alignment horizontal="right" vertical="center"/>
      <protection/>
    </xf>
    <xf numFmtId="167" fontId="5" fillId="5" borderId="9" xfId="0" applyNumberFormat="1" applyFont="1" applyFill="1" applyBorder="1" applyAlignment="1" applyProtection="1">
      <alignment horizontal="right" vertical="center"/>
      <protection/>
    </xf>
    <xf numFmtId="166" fontId="5" fillId="6" borderId="9" xfId="0" applyNumberFormat="1" applyFont="1" applyFill="1" applyBorder="1" applyAlignment="1" applyProtection="1">
      <alignment horizontal="right" vertical="center"/>
      <protection/>
    </xf>
    <xf numFmtId="166" fontId="5" fillId="7" borderId="9" xfId="0" applyNumberFormat="1" applyFont="1" applyFill="1" applyBorder="1" applyAlignment="1" applyProtection="1">
      <alignment horizontal="right" vertical="center"/>
      <protection/>
    </xf>
    <xf numFmtId="166" fontId="1" fillId="8" borderId="9" xfId="0" applyNumberFormat="1" applyFont="1" applyFill="1" applyBorder="1" applyAlignment="1">
      <alignment vertical="top"/>
    </xf>
    <xf numFmtId="166" fontId="1" fillId="8" borderId="9" xfId="0" applyNumberFormat="1" applyFont="1" applyFill="1" applyBorder="1" applyAlignment="1" applyProtection="1">
      <alignment horizontal="right" vertical="top"/>
      <protection/>
    </xf>
    <xf numFmtId="166" fontId="1" fillId="8" borderId="9" xfId="0" applyNumberFormat="1" applyFont="1" applyFill="1" applyBorder="1" applyAlignment="1">
      <alignment/>
    </xf>
    <xf numFmtId="166" fontId="1" fillId="0" borderId="9" xfId="0" applyNumberFormat="1" applyFont="1" applyFill="1" applyBorder="1" applyAlignment="1" applyProtection="1">
      <alignment horizontal="right"/>
      <protection/>
    </xf>
    <xf numFmtId="167" fontId="2" fillId="0" borderId="9" xfId="0" applyNumberFormat="1" applyFont="1" applyFill="1" applyBorder="1" applyAlignment="1" applyProtection="1">
      <alignment/>
      <protection/>
    </xf>
    <xf numFmtId="164" fontId="5" fillId="0" borderId="9" xfId="0" applyFont="1" applyFill="1" applyBorder="1" applyAlignment="1" applyProtection="1">
      <alignment horizontal="center"/>
      <protection/>
    </xf>
    <xf numFmtId="164" fontId="5" fillId="0" borderId="9" xfId="0" applyFont="1" applyFill="1" applyBorder="1" applyAlignment="1" applyProtection="1">
      <alignment/>
      <protection/>
    </xf>
    <xf numFmtId="164" fontId="2" fillId="0" borderId="9" xfId="0" applyFont="1" applyFill="1" applyBorder="1" applyAlignment="1" applyProtection="1">
      <alignment vertical="center"/>
      <protection/>
    </xf>
    <xf numFmtId="164" fontId="2" fillId="0" borderId="9" xfId="0" applyFont="1" applyFill="1" applyBorder="1" applyAlignment="1" applyProtection="1">
      <alignment/>
      <protection/>
    </xf>
    <xf numFmtId="164" fontId="2" fillId="0" borderId="9" xfId="0" applyFont="1" applyFill="1" applyBorder="1" applyAlignment="1">
      <alignment/>
    </xf>
    <xf numFmtId="164" fontId="0" fillId="0" borderId="9" xfId="0" applyFont="1" applyFill="1" applyBorder="1" applyAlignment="1">
      <alignment/>
    </xf>
    <xf numFmtId="164" fontId="0" fillId="0" borderId="9" xfId="0" applyFont="1" applyBorder="1" applyAlignment="1">
      <alignment/>
    </xf>
    <xf numFmtId="164" fontId="2" fillId="0" borderId="23" xfId="0" applyFont="1" applyFill="1" applyBorder="1" applyAlignment="1">
      <alignment/>
    </xf>
    <xf numFmtId="164" fontId="5" fillId="0" borderId="22" xfId="0" applyFont="1" applyFill="1" applyBorder="1" applyAlignment="1" applyProtection="1">
      <alignment/>
      <protection/>
    </xf>
    <xf numFmtId="164" fontId="2" fillId="0" borderId="41" xfId="0" applyFont="1" applyBorder="1" applyAlignment="1">
      <alignment/>
    </xf>
    <xf numFmtId="165" fontId="2" fillId="0" borderId="12" xfId="0" applyNumberFormat="1" applyFont="1" applyFill="1" applyBorder="1" applyAlignment="1">
      <alignment horizontal="right"/>
    </xf>
    <xf numFmtId="164" fontId="2" fillId="0" borderId="44" xfId="0" applyFont="1" applyFill="1" applyBorder="1" applyAlignment="1">
      <alignment/>
    </xf>
    <xf numFmtId="164" fontId="2" fillId="2" borderId="7" xfId="0" applyFont="1" applyFill="1" applyBorder="1" applyAlignment="1">
      <alignment/>
    </xf>
    <xf numFmtId="164" fontId="2" fillId="2" borderId="6" xfId="0" applyFont="1" applyFill="1" applyBorder="1" applyAlignment="1">
      <alignment/>
    </xf>
    <xf numFmtId="164" fontId="2" fillId="0" borderId="19" xfId="0" applyFont="1" applyFill="1" applyBorder="1" applyAlignment="1">
      <alignment/>
    </xf>
    <xf numFmtId="164" fontId="2" fillId="3" borderId="23" xfId="0" applyFont="1" applyFill="1" applyBorder="1" applyAlignment="1">
      <alignment/>
    </xf>
    <xf numFmtId="164" fontId="2" fillId="0" borderId="20" xfId="0" applyFont="1" applyFill="1" applyBorder="1" applyAlignment="1">
      <alignment/>
    </xf>
    <xf numFmtId="164" fontId="2" fillId="0" borderId="7" xfId="0" applyFont="1" applyFill="1" applyBorder="1" applyAlignment="1">
      <alignment/>
    </xf>
    <xf numFmtId="164" fontId="2" fillId="0" borderId="20" xfId="0" applyFont="1" applyFill="1" applyBorder="1" applyAlignment="1">
      <alignment horizontal="center"/>
    </xf>
    <xf numFmtId="167" fontId="2" fillId="0" borderId="19" xfId="0" applyNumberFormat="1" applyFont="1" applyFill="1" applyBorder="1" applyAlignment="1">
      <alignment/>
    </xf>
    <xf numFmtId="167" fontId="2" fillId="0" borderId="24" xfId="0" applyNumberFormat="1" applyFont="1" applyFill="1" applyBorder="1" applyAlignment="1">
      <alignment/>
    </xf>
    <xf numFmtId="167" fontId="13" fillId="0" borderId="2" xfId="0" applyNumberFormat="1" applyFont="1" applyFill="1" applyBorder="1" applyAlignment="1" applyProtection="1">
      <alignment/>
      <protection/>
    </xf>
    <xf numFmtId="166" fontId="1" fillId="8" borderId="0" xfId="0" applyNumberFormat="1" applyFont="1" applyFill="1" applyBorder="1" applyAlignment="1">
      <alignment vertical="top"/>
    </xf>
    <xf numFmtId="166" fontId="1" fillId="8" borderId="0" xfId="0" applyNumberFormat="1" applyFont="1" applyFill="1" applyBorder="1" applyAlignment="1" applyProtection="1">
      <alignment horizontal="right" vertical="top"/>
      <protection/>
    </xf>
    <xf numFmtId="164" fontId="5" fillId="0" borderId="16" xfId="0" applyFont="1" applyFill="1" applyBorder="1" applyAlignment="1" applyProtection="1">
      <alignment horizontal="center" vertical="top"/>
      <protection/>
    </xf>
    <xf numFmtId="164" fontId="5" fillId="0" borderId="0" xfId="0" applyFont="1" applyFill="1" applyBorder="1" applyAlignment="1" applyProtection="1">
      <alignment vertical="top"/>
      <protection/>
    </xf>
    <xf numFmtId="164" fontId="5" fillId="0" borderId="17" xfId="0" applyFont="1" applyFill="1" applyBorder="1" applyAlignment="1" applyProtection="1">
      <alignment horizontal="justify" vertical="top"/>
      <protection/>
    </xf>
    <xf numFmtId="164" fontId="5" fillId="0" borderId="16" xfId="0" applyFont="1" applyBorder="1" applyAlignment="1" applyProtection="1">
      <alignment horizontal="center" vertical="top"/>
      <protection/>
    </xf>
    <xf numFmtId="165" fontId="5" fillId="0" borderId="1" xfId="0" applyNumberFormat="1" applyFont="1" applyFill="1" applyBorder="1" applyAlignment="1" applyProtection="1">
      <alignment horizontal="right" vertical="top"/>
      <protection/>
    </xf>
    <xf numFmtId="164" fontId="5" fillId="0" borderId="45" xfId="0" applyFont="1" applyFill="1" applyBorder="1" applyAlignment="1" applyProtection="1">
      <alignment horizontal="right" vertical="top"/>
      <protection/>
    </xf>
    <xf numFmtId="164" fontId="5" fillId="2" borderId="15" xfId="0" applyFont="1" applyFill="1" applyBorder="1" applyAlignment="1" applyProtection="1">
      <alignment horizontal="center" vertical="top"/>
      <protection/>
    </xf>
    <xf numFmtId="164" fontId="5" fillId="2" borderId="0" xfId="0" applyFont="1" applyFill="1" applyBorder="1" applyAlignment="1" applyProtection="1">
      <alignment horizontal="center" vertical="top"/>
      <protection/>
    </xf>
    <xf numFmtId="167" fontId="5" fillId="0" borderId="18" xfId="0" applyNumberFormat="1" applyFont="1" applyFill="1" applyBorder="1" applyAlignment="1" applyProtection="1">
      <alignment horizontal="center" vertical="top"/>
      <protection/>
    </xf>
    <xf numFmtId="164" fontId="5" fillId="0" borderId="18" xfId="0" applyFont="1" applyFill="1" applyBorder="1" applyAlignment="1" applyProtection="1">
      <alignment horizontal="center" vertical="top"/>
      <protection/>
    </xf>
    <xf numFmtId="167" fontId="5" fillId="3" borderId="0" xfId="0" applyNumberFormat="1" applyFont="1" applyFill="1" applyBorder="1" applyAlignment="1" applyProtection="1">
      <alignment horizontal="right" vertical="top"/>
      <protection/>
    </xf>
    <xf numFmtId="164" fontId="5" fillId="3" borderId="0" xfId="0" applyFont="1" applyFill="1" applyBorder="1" applyAlignment="1" applyProtection="1">
      <alignment horizontal="right" vertical="top"/>
      <protection/>
    </xf>
    <xf numFmtId="167" fontId="5" fillId="0" borderId="1" xfId="0" applyNumberFormat="1" applyFont="1" applyFill="1" applyBorder="1" applyAlignment="1" applyProtection="1">
      <alignment horizontal="right" vertical="top"/>
      <protection/>
    </xf>
    <xf numFmtId="167" fontId="5" fillId="0" borderId="15" xfId="0" applyNumberFormat="1" applyFont="1" applyFill="1" applyBorder="1" applyAlignment="1" applyProtection="1">
      <alignment horizontal="right" vertical="top"/>
      <protection/>
    </xf>
    <xf numFmtId="167" fontId="5" fillId="0" borderId="1" xfId="0" applyNumberFormat="1" applyFont="1" applyFill="1" applyBorder="1" applyAlignment="1" applyProtection="1">
      <alignment horizontal="center" vertical="top"/>
      <protection/>
    </xf>
    <xf numFmtId="167" fontId="5" fillId="0" borderId="18" xfId="0" applyNumberFormat="1" applyFont="1" applyFill="1" applyBorder="1" applyAlignment="1" applyProtection="1">
      <alignment horizontal="right" vertical="top"/>
      <protection/>
    </xf>
    <xf numFmtId="167" fontId="5" fillId="0" borderId="25" xfId="0" applyNumberFormat="1" applyFont="1" applyFill="1" applyBorder="1" applyAlignment="1" applyProtection="1">
      <alignment horizontal="right" vertical="top"/>
      <protection/>
    </xf>
    <xf numFmtId="164" fontId="2" fillId="0" borderId="2" xfId="0" applyFont="1" applyFill="1" applyBorder="1" applyAlignment="1">
      <alignment/>
    </xf>
    <xf numFmtId="166" fontId="1" fillId="4" borderId="0" xfId="0" applyNumberFormat="1" applyFont="1" applyFill="1" applyBorder="1" applyAlignment="1" applyProtection="1">
      <alignment horizontal="right" vertical="top"/>
      <protection/>
    </xf>
    <xf numFmtId="166" fontId="1" fillId="5" borderId="0" xfId="0" applyNumberFormat="1" applyFont="1" applyFill="1" applyBorder="1" applyAlignment="1" applyProtection="1">
      <alignment horizontal="right" vertical="top"/>
      <protection/>
    </xf>
    <xf numFmtId="166" fontId="1" fillId="6" borderId="0" xfId="0" applyNumberFormat="1" applyFont="1" applyFill="1" applyBorder="1" applyAlignment="1" applyProtection="1">
      <alignment horizontal="right" vertical="top"/>
      <protection/>
    </xf>
    <xf numFmtId="166" fontId="9" fillId="7" borderId="0" xfId="0" applyNumberFormat="1" applyFont="1" applyFill="1" applyBorder="1" applyAlignment="1" applyProtection="1">
      <alignment horizontal="right" vertical="top"/>
      <protection/>
    </xf>
    <xf numFmtId="164" fontId="5" fillId="0" borderId="0" xfId="0" applyFont="1" applyFill="1" applyBorder="1" applyAlignment="1" applyProtection="1">
      <alignment horizontal="left" vertical="top"/>
      <protection/>
    </xf>
    <xf numFmtId="164" fontId="5" fillId="0" borderId="17" xfId="0" applyFont="1" applyFill="1" applyBorder="1" applyAlignment="1" applyProtection="1">
      <alignment horizontal="justify" vertical="top" wrapText="1"/>
      <protection/>
    </xf>
    <xf numFmtId="166" fontId="1" fillId="6" borderId="0" xfId="0" applyNumberFormat="1" applyFont="1" applyFill="1" applyBorder="1" applyAlignment="1">
      <alignment vertical="top"/>
    </xf>
    <xf numFmtId="166" fontId="9" fillId="7" borderId="0" xfId="0" applyNumberFormat="1" applyFont="1" applyFill="1" applyBorder="1" applyAlignment="1">
      <alignment vertical="top"/>
    </xf>
    <xf numFmtId="164" fontId="5" fillId="0" borderId="16" xfId="0" applyFont="1" applyFill="1" applyBorder="1" applyAlignment="1">
      <alignment horizontal="center"/>
    </xf>
    <xf numFmtId="164" fontId="5" fillId="0" borderId="0" xfId="0" applyFont="1" applyFill="1" applyBorder="1" applyAlignment="1">
      <alignment/>
    </xf>
    <xf numFmtId="164" fontId="5" fillId="0" borderId="45" xfId="0" applyFont="1" applyFill="1" applyBorder="1" applyAlignment="1" applyProtection="1">
      <alignment horizontal="right"/>
      <protection/>
    </xf>
    <xf numFmtId="164" fontId="1" fillId="4" borderId="0" xfId="0" applyFont="1" applyFill="1" applyBorder="1" applyAlignment="1">
      <alignment/>
    </xf>
    <xf numFmtId="164" fontId="1" fillId="5" borderId="0" xfId="0" applyFont="1" applyFill="1" applyBorder="1" applyAlignment="1">
      <alignment/>
    </xf>
    <xf numFmtId="166" fontId="9" fillId="7" borderId="0" xfId="0" applyNumberFormat="1" applyFont="1" applyFill="1" applyBorder="1" applyAlignment="1">
      <alignment/>
    </xf>
    <xf numFmtId="167" fontId="5" fillId="0" borderId="2" xfId="0" applyNumberFormat="1" applyFont="1" applyFill="1" applyBorder="1" applyAlignment="1" applyProtection="1">
      <alignment horizontal="right" vertical="center"/>
      <protection/>
    </xf>
    <xf numFmtId="166" fontId="1" fillId="4" borderId="0" xfId="0" applyNumberFormat="1" applyFont="1" applyFill="1" applyBorder="1" applyAlignment="1">
      <alignment/>
    </xf>
    <xf numFmtId="166" fontId="1" fillId="5" borderId="0" xfId="0" applyNumberFormat="1" applyFont="1" applyFill="1" applyBorder="1" applyAlignment="1">
      <alignment/>
    </xf>
    <xf numFmtId="164" fontId="2" fillId="0" borderId="16" xfId="0" applyFont="1" applyFill="1" applyBorder="1" applyAlignment="1">
      <alignment/>
    </xf>
    <xf numFmtId="164" fontId="2" fillId="0" borderId="16" xfId="0" applyFont="1" applyBorder="1" applyAlignment="1">
      <alignment/>
    </xf>
    <xf numFmtId="164" fontId="2" fillId="0" borderId="45" xfId="0" applyFont="1" applyFill="1" applyBorder="1" applyAlignment="1">
      <alignment/>
    </xf>
    <xf numFmtId="164" fontId="5" fillId="0" borderId="16" xfId="0" applyFont="1" applyBorder="1" applyAlignment="1" applyProtection="1">
      <alignment horizontal="center" vertical="center"/>
      <protection/>
    </xf>
    <xf numFmtId="164" fontId="5" fillId="0" borderId="45" xfId="0" applyFont="1" applyFill="1" applyBorder="1" applyAlignment="1" applyProtection="1">
      <alignment horizontal="right" vertical="center"/>
      <protection/>
    </xf>
    <xf numFmtId="167" fontId="5" fillId="3" borderId="0" xfId="0" applyNumberFormat="1" applyFont="1" applyFill="1" applyBorder="1" applyAlignment="1" applyProtection="1">
      <alignment horizontal="right" vertical="center"/>
      <protection/>
    </xf>
    <xf numFmtId="167" fontId="5" fillId="0" borderId="25" xfId="0" applyNumberFormat="1" applyFont="1" applyFill="1" applyBorder="1" applyAlignment="1" applyProtection="1">
      <alignment horizontal="right" vertical="center"/>
      <protection/>
    </xf>
    <xf numFmtId="166" fontId="1" fillId="8" borderId="0" xfId="0" applyNumberFormat="1" applyFont="1" applyFill="1" applyBorder="1" applyAlignment="1" applyProtection="1">
      <alignment horizontal="right" vertical="center"/>
      <protection/>
    </xf>
    <xf numFmtId="166" fontId="9" fillId="8" borderId="0" xfId="0" applyNumberFormat="1" applyFont="1" applyFill="1" applyBorder="1" applyAlignment="1" applyProtection="1">
      <alignment horizontal="right" vertical="center"/>
      <protection/>
    </xf>
    <xf numFmtId="166" fontId="1" fillId="4" borderId="0" xfId="0" applyNumberFormat="1" applyFont="1" applyFill="1" applyBorder="1" applyAlignment="1" applyProtection="1">
      <alignment horizontal="right" vertical="center"/>
      <protection/>
    </xf>
    <xf numFmtId="166" fontId="1" fillId="5" borderId="0" xfId="0" applyNumberFormat="1" applyFont="1" applyFill="1" applyBorder="1" applyAlignment="1" applyProtection="1">
      <alignment horizontal="right" vertical="center"/>
      <protection/>
    </xf>
    <xf numFmtId="166" fontId="1" fillId="6" borderId="0" xfId="0" applyNumberFormat="1" applyFont="1" applyFill="1" applyBorder="1" applyAlignment="1" applyProtection="1">
      <alignment horizontal="right" vertical="center"/>
      <protection/>
    </xf>
    <xf numFmtId="166" fontId="9" fillId="7" borderId="0" xfId="0" applyNumberFormat="1" applyFont="1" applyFill="1" applyBorder="1" applyAlignment="1" applyProtection="1">
      <alignment horizontal="right" vertical="center"/>
      <protection/>
    </xf>
    <xf numFmtId="166" fontId="1" fillId="8" borderId="0" xfId="0" applyNumberFormat="1" applyFont="1" applyFill="1" applyBorder="1" applyAlignment="1">
      <alignment vertical="center"/>
    </xf>
    <xf numFmtId="166" fontId="1" fillId="7" borderId="0" xfId="0" applyNumberFormat="1" applyFont="1" applyFill="1" applyBorder="1" applyAlignment="1" applyProtection="1">
      <alignment horizontal="right" vertical="center"/>
      <protection/>
    </xf>
    <xf numFmtId="164" fontId="8" fillId="0" borderId="16" xfId="0" applyFont="1" applyFill="1" applyBorder="1" applyAlignment="1" applyProtection="1">
      <alignment horizontal="center"/>
      <protection/>
    </xf>
    <xf numFmtId="164" fontId="11" fillId="0" borderId="0" xfId="0" applyFont="1" applyFill="1" applyBorder="1" applyAlignment="1" applyProtection="1">
      <alignment/>
      <protection/>
    </xf>
    <xf numFmtId="168" fontId="11" fillId="0" borderId="17" xfId="0" applyNumberFormat="1" applyFont="1" applyFill="1" applyBorder="1" applyAlignment="1" applyProtection="1">
      <alignment horizontal="right"/>
      <protection/>
    </xf>
    <xf numFmtId="167" fontId="11" fillId="0" borderId="16" xfId="0" applyNumberFormat="1" applyFont="1" applyBorder="1" applyAlignment="1" applyProtection="1">
      <alignment/>
      <protection/>
    </xf>
    <xf numFmtId="165" fontId="11" fillId="0" borderId="1" xfId="0" applyNumberFormat="1" applyFont="1" applyFill="1" applyBorder="1" applyAlignment="1" applyProtection="1">
      <alignment horizontal="right"/>
      <protection/>
    </xf>
    <xf numFmtId="164" fontId="11" fillId="0" borderId="45" xfId="0" applyFont="1" applyFill="1" applyBorder="1" applyAlignment="1" applyProtection="1">
      <alignment/>
      <protection/>
    </xf>
    <xf numFmtId="168" fontId="11" fillId="2" borderId="0" xfId="0" applyNumberFormat="1" applyFont="1" applyFill="1" applyBorder="1" applyAlignment="1" applyProtection="1">
      <alignment/>
      <protection/>
    </xf>
    <xf numFmtId="167" fontId="11" fillId="2" borderId="0" xfId="0" applyNumberFormat="1" applyFont="1" applyFill="1" applyBorder="1" applyAlignment="1" applyProtection="1">
      <alignment horizontal="right"/>
      <protection/>
    </xf>
    <xf numFmtId="164" fontId="11" fillId="0" borderId="18" xfId="0" applyFont="1" applyFill="1" applyBorder="1" applyAlignment="1" applyProtection="1">
      <alignment horizontal="center"/>
      <protection/>
    </xf>
    <xf numFmtId="167" fontId="11" fillId="0" borderId="18" xfId="0" applyNumberFormat="1" applyFont="1" applyFill="1" applyBorder="1" applyAlignment="1" applyProtection="1">
      <alignment horizontal="right"/>
      <protection/>
    </xf>
    <xf numFmtId="174" fontId="11" fillId="3" borderId="0" xfId="0" applyNumberFormat="1" applyFont="1" applyFill="1" applyBorder="1" applyAlignment="1" applyProtection="1">
      <alignment horizontal="left"/>
      <protection/>
    </xf>
    <xf numFmtId="164" fontId="11" fillId="3" borderId="0" xfId="0" applyFont="1" applyFill="1" applyBorder="1" applyAlignment="1" applyProtection="1">
      <alignment/>
      <protection/>
    </xf>
    <xf numFmtId="167" fontId="11" fillId="0" borderId="1" xfId="0" applyNumberFormat="1" applyFont="1" applyFill="1" applyBorder="1" applyAlignment="1" applyProtection="1">
      <alignment horizontal="right"/>
      <protection/>
    </xf>
    <xf numFmtId="167" fontId="11" fillId="0" borderId="15" xfId="0" applyNumberFormat="1" applyFont="1" applyFill="1" applyBorder="1" applyAlignment="1" applyProtection="1">
      <alignment horizontal="left"/>
      <protection/>
    </xf>
    <xf numFmtId="167" fontId="11" fillId="0" borderId="1" xfId="0" applyNumberFormat="1" applyFont="1" applyFill="1" applyBorder="1" applyAlignment="1" applyProtection="1">
      <alignment horizontal="center"/>
      <protection/>
    </xf>
    <xf numFmtId="164" fontId="14" fillId="0" borderId="18" xfId="0" applyFont="1" applyFill="1" applyBorder="1" applyAlignment="1" applyProtection="1">
      <alignment/>
      <protection/>
    </xf>
    <xf numFmtId="167" fontId="11" fillId="0" borderId="18" xfId="0" applyNumberFormat="1" applyFont="1" applyFill="1" applyBorder="1" applyAlignment="1" applyProtection="1">
      <alignment/>
      <protection/>
    </xf>
    <xf numFmtId="167" fontId="11" fillId="0" borderId="25" xfId="0" applyNumberFormat="1" applyFont="1" applyFill="1" applyBorder="1" applyAlignment="1" applyProtection="1">
      <alignment/>
      <protection/>
    </xf>
    <xf numFmtId="164" fontId="5" fillId="0" borderId="16" xfId="0" applyFont="1" applyBorder="1" applyAlignment="1" applyProtection="1">
      <alignment horizontal="center"/>
      <protection/>
    </xf>
    <xf numFmtId="166" fontId="0" fillId="6" borderId="0" xfId="0" applyNumberFormat="1" applyFont="1" applyFill="1" applyBorder="1" applyAlignment="1">
      <alignment/>
    </xf>
    <xf numFmtId="166" fontId="15" fillId="8" borderId="0" xfId="0" applyNumberFormat="1" applyFont="1" applyFill="1" applyBorder="1" applyAlignment="1" applyProtection="1">
      <alignment/>
      <protection/>
    </xf>
    <xf numFmtId="166" fontId="15" fillId="0" borderId="0" xfId="0" applyNumberFormat="1" applyFont="1" applyFill="1" applyBorder="1" applyAlignment="1" applyProtection="1">
      <alignment horizontal="right"/>
      <protection/>
    </xf>
    <xf numFmtId="164" fontId="14" fillId="0" borderId="0" xfId="0" applyFont="1" applyFill="1" applyBorder="1" applyAlignment="1">
      <alignment horizontal="center"/>
    </xf>
    <xf numFmtId="164" fontId="14" fillId="0" borderId="0" xfId="0" applyFont="1" applyFill="1" applyBorder="1" applyAlignment="1">
      <alignment/>
    </xf>
    <xf numFmtId="164" fontId="14" fillId="0" borderId="0" xfId="0" applyFont="1" applyFill="1" applyBorder="1" applyAlignment="1" applyProtection="1">
      <alignment/>
      <protection/>
    </xf>
    <xf numFmtId="164" fontId="16" fillId="0" borderId="0" xfId="0" applyFont="1" applyFill="1" applyBorder="1" applyAlignment="1">
      <alignment horizontal="center"/>
    </xf>
    <xf numFmtId="164" fontId="16" fillId="0" borderId="0" xfId="0" applyFont="1" applyFill="1" applyBorder="1" applyAlignment="1">
      <alignment/>
    </xf>
    <xf numFmtId="164" fontId="16" fillId="0" borderId="0" xfId="0" applyFont="1" applyFill="1" applyBorder="1" applyAlignment="1" applyProtection="1">
      <alignment/>
      <protection/>
    </xf>
    <xf numFmtId="168" fontId="11" fillId="0" borderId="2" xfId="0" applyNumberFormat="1" applyFont="1" applyFill="1" applyBorder="1" applyAlignment="1" applyProtection="1">
      <alignment/>
      <protection/>
    </xf>
    <xf numFmtId="166" fontId="5" fillId="8" borderId="0" xfId="0" applyNumberFormat="1" applyFont="1" applyFill="1" applyBorder="1" applyAlignment="1" applyProtection="1">
      <alignment/>
      <protection/>
    </xf>
    <xf numFmtId="164" fontId="5" fillId="0" borderId="36" xfId="0" applyFont="1" applyFill="1" applyBorder="1" applyAlignment="1" applyProtection="1">
      <alignment/>
      <protection/>
    </xf>
    <xf numFmtId="164" fontId="5" fillId="0" borderId="46" xfId="0" applyFont="1" applyFill="1" applyBorder="1" applyAlignment="1" applyProtection="1">
      <alignment horizontal="right"/>
      <protection/>
    </xf>
    <xf numFmtId="167" fontId="5" fillId="3" borderId="35" xfId="0" applyNumberFormat="1" applyFont="1" applyFill="1" applyBorder="1" applyAlignment="1" applyProtection="1">
      <alignment horizontal="right"/>
      <protection/>
    </xf>
    <xf numFmtId="167" fontId="5" fillId="0" borderId="40" xfId="0" applyNumberFormat="1" applyFont="1" applyFill="1" applyBorder="1" applyAlignment="1" applyProtection="1">
      <alignment horizontal="right"/>
      <protection/>
    </xf>
    <xf numFmtId="164" fontId="5" fillId="0" borderId="0" xfId="0" applyFont="1" applyFill="1" applyBorder="1" applyAlignment="1" applyProtection="1">
      <alignment horizontal="center" vertical="center"/>
      <protection/>
    </xf>
    <xf numFmtId="168" fontId="5" fillId="0" borderId="0" xfId="0" applyNumberFormat="1" applyFont="1" applyFill="1" applyBorder="1" applyAlignment="1" applyProtection="1">
      <alignment horizontal="right"/>
      <protection/>
    </xf>
    <xf numFmtId="167" fontId="5" fillId="0" borderId="0" xfId="0" applyNumberFormat="1" applyFont="1" applyBorder="1" applyAlignment="1" applyProtection="1">
      <alignment/>
      <protection/>
    </xf>
    <xf numFmtId="165" fontId="5" fillId="0" borderId="0" xfId="0" applyNumberFormat="1" applyFont="1" applyBorder="1" applyAlignment="1" applyProtection="1">
      <alignment horizontal="left"/>
      <protection/>
    </xf>
    <xf numFmtId="174" fontId="5" fillId="3" borderId="0" xfId="0" applyNumberFormat="1" applyFont="1" applyFill="1" applyBorder="1" applyAlignment="1" applyProtection="1">
      <alignment horizontal="left"/>
      <protection/>
    </xf>
    <xf numFmtId="167" fontId="5" fillId="0" borderId="0" xfId="0" applyNumberFormat="1" applyFont="1" applyFill="1" applyBorder="1" applyAlignment="1" applyProtection="1">
      <alignment horizontal="right" vertical="center"/>
      <protection/>
    </xf>
    <xf numFmtId="167" fontId="5" fillId="0" borderId="0" xfId="0" applyNumberFormat="1" applyFont="1" applyFill="1" applyBorder="1" applyAlignment="1" applyProtection="1">
      <alignment horizontal="center" vertical="center"/>
      <protection/>
    </xf>
    <xf numFmtId="167" fontId="5" fillId="4" borderId="0" xfId="0" applyNumberFormat="1" applyFont="1" applyFill="1" applyBorder="1" applyAlignment="1" applyProtection="1">
      <alignment horizontal="right" vertical="center"/>
      <protection/>
    </xf>
    <xf numFmtId="167" fontId="5" fillId="5" borderId="0" xfId="0" applyNumberFormat="1" applyFont="1" applyFill="1" applyBorder="1" applyAlignment="1" applyProtection="1">
      <alignment horizontal="right" vertical="center"/>
      <protection/>
    </xf>
    <xf numFmtId="166" fontId="5" fillId="6" borderId="0" xfId="0" applyNumberFormat="1" applyFont="1" applyFill="1" applyBorder="1" applyAlignment="1" applyProtection="1">
      <alignment horizontal="right" vertical="center"/>
      <protection/>
    </xf>
    <xf numFmtId="166" fontId="5" fillId="7" borderId="0" xfId="0" applyNumberFormat="1" applyFont="1" applyFill="1" applyBorder="1" applyAlignment="1" applyProtection="1">
      <alignment horizontal="right" vertical="center"/>
      <protection/>
    </xf>
    <xf numFmtId="164" fontId="17" fillId="0" borderId="0" xfId="0" applyFont="1" applyFill="1" applyBorder="1" applyAlignment="1">
      <alignment horizontal="right"/>
    </xf>
    <xf numFmtId="165" fontId="2" fillId="0" borderId="0" xfId="0" applyNumberFormat="1" applyFont="1" applyBorder="1" applyAlignment="1">
      <alignment horizontal="right"/>
    </xf>
    <xf numFmtId="164" fontId="13" fillId="0" borderId="0" xfId="0" applyFont="1" applyBorder="1" applyAlignment="1" applyProtection="1">
      <alignment/>
      <protection/>
    </xf>
    <xf numFmtId="168" fontId="13" fillId="2" borderId="0" xfId="0" applyNumberFormat="1" applyFont="1" applyFill="1" applyBorder="1" applyAlignment="1" applyProtection="1">
      <alignment/>
      <protection/>
    </xf>
    <xf numFmtId="167" fontId="13" fillId="2" borderId="0" xfId="0" applyNumberFormat="1" applyFont="1" applyFill="1" applyBorder="1" applyAlignment="1" applyProtection="1">
      <alignment horizontal="right"/>
      <protection/>
    </xf>
    <xf numFmtId="164" fontId="13" fillId="3" borderId="0" xfId="0" applyFont="1" applyFill="1" applyBorder="1" applyAlignment="1" applyProtection="1">
      <alignment/>
      <protection/>
    </xf>
    <xf numFmtId="167" fontId="13" fillId="0" borderId="0" xfId="0" applyNumberFormat="1" applyFont="1" applyFill="1" applyBorder="1" applyAlignment="1" applyProtection="1">
      <alignment horizontal="left"/>
      <protection/>
    </xf>
    <xf numFmtId="168" fontId="13" fillId="0" borderId="0" xfId="0" applyNumberFormat="1" applyFont="1" applyFill="1" applyBorder="1" applyAlignment="1" applyProtection="1">
      <alignment horizontal="right"/>
      <protection/>
    </xf>
    <xf numFmtId="167" fontId="13" fillId="0" borderId="0" xfId="0" applyNumberFormat="1" applyFont="1" applyFill="1" applyBorder="1" applyAlignment="1" applyProtection="1">
      <alignment horizontal="right"/>
      <protection/>
    </xf>
    <xf numFmtId="167" fontId="5" fillId="0" borderId="0" xfId="0" applyNumberFormat="1" applyFont="1" applyFill="1" applyBorder="1" applyAlignment="1" applyProtection="1">
      <alignment/>
      <protection/>
    </xf>
    <xf numFmtId="167" fontId="5" fillId="4" borderId="0" xfId="0" applyNumberFormat="1" applyFont="1" applyFill="1" applyBorder="1" applyAlignment="1" applyProtection="1">
      <alignment/>
      <protection/>
    </xf>
    <xf numFmtId="167" fontId="5" fillId="5" borderId="0" xfId="0" applyNumberFormat="1" applyFont="1" applyFill="1" applyBorder="1" applyAlignment="1" applyProtection="1">
      <alignment/>
      <protection/>
    </xf>
    <xf numFmtId="168" fontId="5" fillId="0" borderId="22" xfId="0" applyNumberFormat="1" applyFont="1" applyFill="1" applyBorder="1" applyAlignment="1" applyProtection="1">
      <alignment/>
      <protection/>
    </xf>
    <xf numFmtId="167" fontId="5" fillId="0" borderId="47" xfId="0" applyNumberFormat="1" applyFont="1" applyFill="1" applyBorder="1" applyAlignment="1" applyProtection="1">
      <alignment horizontal="right"/>
      <protection/>
    </xf>
    <xf numFmtId="167" fontId="5" fillId="0" borderId="19" xfId="0" applyNumberFormat="1" applyFont="1" applyFill="1" applyBorder="1" applyAlignment="1" applyProtection="1">
      <alignment/>
      <protection/>
    </xf>
    <xf numFmtId="167" fontId="5" fillId="0" borderId="24" xfId="0" applyNumberFormat="1" applyFont="1" applyFill="1" applyBorder="1" applyAlignment="1" applyProtection="1">
      <alignment/>
      <protection/>
    </xf>
    <xf numFmtId="167" fontId="5" fillId="0" borderId="2" xfId="0" applyNumberFormat="1" applyFont="1" applyFill="1" applyBorder="1" applyAlignment="1" applyProtection="1">
      <alignment/>
      <protection/>
    </xf>
    <xf numFmtId="168" fontId="5" fillId="0" borderId="16" xfId="0" applyNumberFormat="1" applyFont="1" applyFill="1" applyBorder="1" applyAlignment="1" applyProtection="1">
      <alignment horizontal="center"/>
      <protection/>
    </xf>
    <xf numFmtId="168" fontId="5" fillId="2" borderId="15" xfId="0" applyNumberFormat="1" applyFont="1" applyFill="1" applyBorder="1" applyAlignment="1" applyProtection="1">
      <alignment/>
      <protection/>
    </xf>
    <xf numFmtId="167" fontId="5" fillId="2" borderId="0" xfId="0" applyNumberFormat="1" applyFont="1" applyFill="1" applyBorder="1" applyAlignment="1" applyProtection="1">
      <alignment horizontal="right"/>
      <protection/>
    </xf>
    <xf numFmtId="164" fontId="5" fillId="3" borderId="0" xfId="0" applyFont="1" applyFill="1" applyBorder="1" applyAlignment="1" applyProtection="1">
      <alignment/>
      <protection/>
    </xf>
    <xf numFmtId="167" fontId="5" fillId="0" borderId="15" xfId="0" applyNumberFormat="1" applyFont="1" applyFill="1" applyBorder="1" applyAlignment="1" applyProtection="1">
      <alignment horizontal="left"/>
      <protection/>
    </xf>
    <xf numFmtId="164" fontId="2" fillId="0" borderId="18" xfId="0" applyFont="1" applyFill="1" applyBorder="1" applyAlignment="1" applyProtection="1">
      <alignment/>
      <protection/>
    </xf>
    <xf numFmtId="171" fontId="4" fillId="0" borderId="17" xfId="0" applyNumberFormat="1" applyFont="1" applyFill="1" applyBorder="1" applyAlignment="1">
      <alignment horizontal="left"/>
    </xf>
    <xf numFmtId="164" fontId="5" fillId="2" borderId="15" xfId="0" applyFont="1" applyFill="1" applyBorder="1" applyAlignment="1" applyProtection="1">
      <alignment vertical="center"/>
      <protection/>
    </xf>
    <xf numFmtId="164" fontId="5" fillId="2" borderId="0" xfId="0" applyFont="1" applyFill="1" applyBorder="1" applyAlignment="1" applyProtection="1">
      <alignment vertical="center"/>
      <protection/>
    </xf>
    <xf numFmtId="164" fontId="8" fillId="0" borderId="17" xfId="0" applyFont="1" applyFill="1" applyBorder="1" applyAlignment="1" applyProtection="1">
      <alignment horizontal="left" vertical="center"/>
      <protection/>
    </xf>
    <xf numFmtId="164" fontId="5" fillId="2" borderId="15" xfId="0" applyFont="1" applyFill="1" applyBorder="1" applyAlignment="1" applyProtection="1">
      <alignment/>
      <protection/>
    </xf>
    <xf numFmtId="164" fontId="5" fillId="2" borderId="0" xfId="0" applyFont="1" applyFill="1" applyBorder="1" applyAlignment="1" applyProtection="1">
      <alignment/>
      <protection/>
    </xf>
    <xf numFmtId="167" fontId="5" fillId="0" borderId="18" xfId="0" applyNumberFormat="1" applyFont="1" applyFill="1" applyBorder="1" applyAlignment="1" applyProtection="1">
      <alignment/>
      <protection/>
    </xf>
    <xf numFmtId="164" fontId="5" fillId="0" borderId="0" xfId="0" applyFont="1" applyFill="1" applyBorder="1" applyAlignment="1">
      <alignment horizontal="center"/>
    </xf>
    <xf numFmtId="167" fontId="5" fillId="0" borderId="0" xfId="0" applyNumberFormat="1" applyFont="1" applyFill="1" applyBorder="1" applyAlignment="1" applyProtection="1">
      <alignment horizontal="center"/>
      <protection/>
    </xf>
    <xf numFmtId="164" fontId="5" fillId="0" borderId="15" xfId="0" applyFont="1" applyFill="1" applyBorder="1" applyAlignment="1" applyProtection="1">
      <alignment/>
      <protection/>
    </xf>
    <xf numFmtId="164" fontId="5" fillId="0" borderId="36" xfId="0" applyFont="1" applyFill="1" applyBorder="1" applyAlignment="1" applyProtection="1">
      <alignment horizontal="left"/>
      <protection/>
    </xf>
    <xf numFmtId="164" fontId="5" fillId="2" borderId="35" xfId="0" applyFont="1" applyFill="1" applyBorder="1" applyAlignment="1" applyProtection="1">
      <alignment/>
      <protection/>
    </xf>
    <xf numFmtId="167" fontId="5" fillId="0" borderId="37" xfId="0" applyNumberFormat="1" applyFont="1" applyFill="1" applyBorder="1" applyAlignment="1" applyProtection="1">
      <alignment/>
      <protection/>
    </xf>
    <xf numFmtId="167" fontId="5" fillId="0" borderId="40" xfId="0" applyNumberFormat="1" applyFont="1" applyFill="1" applyBorder="1" applyAlignment="1" applyProtection="1">
      <alignment/>
      <protection/>
    </xf>
    <xf numFmtId="164" fontId="8" fillId="0" borderId="22" xfId="0" applyFont="1" applyFill="1" applyBorder="1" applyAlignment="1" applyProtection="1">
      <alignment horizontal="left" vertical="center"/>
      <protection/>
    </xf>
    <xf numFmtId="164" fontId="5" fillId="2" borderId="23" xfId="0" applyFont="1" applyFill="1" applyBorder="1" applyAlignment="1" applyProtection="1">
      <alignment/>
      <protection/>
    </xf>
    <xf numFmtId="167" fontId="5" fillId="3" borderId="23" xfId="0" applyNumberFormat="1" applyFont="1" applyFill="1" applyBorder="1" applyAlignment="1" applyProtection="1">
      <alignment horizontal="right"/>
      <protection/>
    </xf>
    <xf numFmtId="164" fontId="5" fillId="0" borderId="17" xfId="0" applyFont="1" applyFill="1" applyBorder="1" applyAlignment="1" applyProtection="1">
      <alignment horizontal="left" vertical="center"/>
      <protection/>
    </xf>
    <xf numFmtId="164" fontId="2" fillId="2" borderId="15" xfId="0" applyFont="1" applyFill="1" applyBorder="1" applyAlignment="1">
      <alignment/>
    </xf>
    <xf numFmtId="164" fontId="2" fillId="2" borderId="14" xfId="0" applyFont="1" applyFill="1" applyBorder="1" applyAlignment="1">
      <alignment/>
    </xf>
    <xf numFmtId="164" fontId="5" fillId="0" borderId="17" xfId="0" applyFont="1" applyFill="1" applyBorder="1" applyAlignment="1" applyProtection="1">
      <alignment wrapText="1"/>
      <protection/>
    </xf>
    <xf numFmtId="167" fontId="5" fillId="3" borderId="0" xfId="0" applyNumberFormat="1" applyFont="1" applyFill="1" applyBorder="1" applyAlignment="1" applyProtection="1">
      <alignment horizontal="right" vertical="center"/>
      <protection/>
    </xf>
    <xf numFmtId="164" fontId="2" fillId="0" borderId="2" xfId="0" applyFont="1" applyFill="1" applyBorder="1" applyAlignment="1">
      <alignment vertical="center"/>
    </xf>
    <xf numFmtId="166" fontId="2" fillId="0" borderId="0" xfId="0" applyNumberFormat="1" applyFont="1" applyFill="1" applyBorder="1" applyAlignment="1" applyProtection="1">
      <alignment horizontal="center"/>
      <protection/>
    </xf>
    <xf numFmtId="164" fontId="5" fillId="0" borderId="18" xfId="0" applyFont="1" applyFill="1" applyBorder="1" applyAlignment="1" applyProtection="1">
      <alignment horizontal="center"/>
      <protection/>
    </xf>
    <xf numFmtId="170" fontId="5" fillId="0" borderId="0" xfId="0" applyNumberFormat="1" applyFont="1" applyFill="1" applyBorder="1" applyAlignment="1" applyProtection="1">
      <alignment horizontal="right"/>
      <protection/>
    </xf>
    <xf numFmtId="166" fontId="1" fillId="8" borderId="0" xfId="0" applyNumberFormat="1" applyFont="1" applyFill="1" applyBorder="1" applyAlignment="1" applyProtection="1">
      <alignment vertical="top"/>
      <protection/>
    </xf>
    <xf numFmtId="166" fontId="1" fillId="0" borderId="0" xfId="0" applyNumberFormat="1" applyFont="1" applyFill="1" applyBorder="1" applyAlignment="1" applyProtection="1">
      <alignment horizontal="right" vertical="top"/>
      <protection/>
    </xf>
    <xf numFmtId="167" fontId="2" fillId="0" borderId="0" xfId="0" applyNumberFormat="1" applyFont="1" applyFill="1" applyBorder="1" applyAlignment="1" applyProtection="1">
      <alignment vertical="top"/>
      <protection/>
    </xf>
    <xf numFmtId="164" fontId="2" fillId="0" borderId="0" xfId="0" applyFont="1" applyFill="1" applyBorder="1" applyAlignment="1" applyProtection="1">
      <alignment horizontal="center" vertical="top"/>
      <protection/>
    </xf>
    <xf numFmtId="164" fontId="2" fillId="0" borderId="0" xfId="0" applyFont="1" applyFill="1" applyBorder="1" applyAlignment="1" applyProtection="1">
      <alignment vertical="top"/>
      <protection/>
    </xf>
    <xf numFmtId="164" fontId="2" fillId="0" borderId="0" xfId="0" applyFont="1" applyFill="1" applyBorder="1" applyAlignment="1">
      <alignment vertical="top"/>
    </xf>
    <xf numFmtId="164" fontId="0" fillId="0" borderId="0" xfId="0" applyFont="1" applyFill="1" applyBorder="1" applyAlignment="1">
      <alignment vertical="top"/>
    </xf>
    <xf numFmtId="164" fontId="0" fillId="0" borderId="0" xfId="0" applyFont="1" applyBorder="1" applyAlignment="1">
      <alignment vertical="top"/>
    </xf>
    <xf numFmtId="164" fontId="5" fillId="0" borderId="0" xfId="0" applyFont="1" applyFill="1" applyBorder="1" applyAlignment="1" applyProtection="1">
      <alignment horizontal="right" vertical="top"/>
      <protection/>
    </xf>
    <xf numFmtId="164" fontId="5" fillId="2" borderId="15" xfId="0" applyFont="1" applyFill="1" applyBorder="1" applyAlignment="1" applyProtection="1">
      <alignment vertical="top"/>
      <protection/>
    </xf>
    <xf numFmtId="167" fontId="5" fillId="0" borderId="18" xfId="0" applyNumberFormat="1" applyFont="1" applyFill="1" applyBorder="1" applyAlignment="1" applyProtection="1">
      <alignment vertical="top"/>
      <protection/>
    </xf>
    <xf numFmtId="167" fontId="5" fillId="0" borderId="25" xfId="0" applyNumberFormat="1" applyFont="1" applyFill="1" applyBorder="1" applyAlignment="1" applyProtection="1">
      <alignment vertical="top"/>
      <protection/>
    </xf>
    <xf numFmtId="166" fontId="1" fillId="4" borderId="0" xfId="0" applyNumberFormat="1" applyFont="1" applyFill="1" applyBorder="1" applyAlignment="1" applyProtection="1">
      <alignment vertical="top"/>
      <protection/>
    </xf>
    <xf numFmtId="166" fontId="1" fillId="5" borderId="0" xfId="0" applyNumberFormat="1" applyFont="1" applyFill="1" applyBorder="1" applyAlignment="1" applyProtection="1">
      <alignment vertical="top"/>
      <protection/>
    </xf>
    <xf numFmtId="166" fontId="1" fillId="6" borderId="0" xfId="0" applyNumberFormat="1" applyFont="1" applyFill="1" applyBorder="1" applyAlignment="1" applyProtection="1">
      <alignment vertical="top"/>
      <protection/>
    </xf>
    <xf numFmtId="166" fontId="9" fillId="7" borderId="0" xfId="0" applyNumberFormat="1" applyFont="1" applyFill="1" applyBorder="1" applyAlignment="1" applyProtection="1">
      <alignment vertical="top"/>
      <protection/>
    </xf>
    <xf numFmtId="164" fontId="16" fillId="0" borderId="0" xfId="0" applyFont="1" applyFill="1" applyBorder="1" applyAlignment="1" applyProtection="1">
      <alignment horizontal="center"/>
      <protection/>
    </xf>
    <xf numFmtId="164" fontId="5" fillId="0" borderId="0" xfId="0" applyNumberFormat="1" applyFont="1" applyFill="1" applyBorder="1" applyAlignment="1" applyProtection="1">
      <alignment/>
      <protection/>
    </xf>
    <xf numFmtId="164" fontId="5" fillId="0" borderId="36" xfId="0" applyFont="1" applyFill="1" applyBorder="1" applyAlignment="1" applyProtection="1">
      <alignment/>
      <protection/>
    </xf>
    <xf numFmtId="164" fontId="5" fillId="2" borderId="39" xfId="0" applyFont="1" applyFill="1" applyBorder="1" applyAlignment="1" applyProtection="1">
      <alignment/>
      <protection/>
    </xf>
    <xf numFmtId="167" fontId="5" fillId="0" borderId="37" xfId="0" applyNumberFormat="1" applyFont="1" applyFill="1" applyBorder="1" applyAlignment="1" applyProtection="1">
      <alignment horizontal="right"/>
      <protection/>
    </xf>
    <xf numFmtId="164" fontId="5" fillId="0" borderId="22" xfId="0" applyFont="1" applyFill="1" applyBorder="1" applyAlignment="1" applyProtection="1">
      <alignment/>
      <protection/>
    </xf>
    <xf numFmtId="164" fontId="5" fillId="2" borderId="7" xfId="0" applyFont="1" applyFill="1" applyBorder="1" applyAlignment="1" applyProtection="1">
      <alignment/>
      <protection/>
    </xf>
    <xf numFmtId="167" fontId="5" fillId="0" borderId="18" xfId="0" applyNumberFormat="1" applyFont="1" applyFill="1" applyBorder="1" applyAlignment="1" applyProtection="1">
      <alignment horizontal="right"/>
      <protection/>
    </xf>
    <xf numFmtId="164" fontId="5" fillId="2" borderId="0" xfId="0" applyFont="1" applyFill="1" applyBorder="1" applyAlignment="1" applyProtection="1">
      <alignment/>
      <protection/>
    </xf>
    <xf numFmtId="164" fontId="0" fillId="9" borderId="0" xfId="0" applyFont="1" applyFill="1" applyBorder="1" applyAlignment="1">
      <alignment/>
    </xf>
    <xf numFmtId="164" fontId="18" fillId="4" borderId="0" xfId="0" applyFont="1" applyFill="1" applyBorder="1" applyAlignment="1">
      <alignment/>
    </xf>
    <xf numFmtId="164" fontId="0" fillId="10" borderId="0" xfId="0" applyFont="1" applyFill="1" applyBorder="1" applyAlignment="1">
      <alignment/>
    </xf>
    <xf numFmtId="166" fontId="19" fillId="8" borderId="0" xfId="0" applyNumberFormat="1" applyFont="1" applyFill="1" applyBorder="1" applyAlignment="1" applyProtection="1">
      <alignment horizontal="right"/>
      <protection/>
    </xf>
    <xf numFmtId="167" fontId="5" fillId="10" borderId="2" xfId="0" applyNumberFormat="1" applyFont="1" applyFill="1" applyBorder="1" applyAlignment="1" applyProtection="1">
      <alignment horizontal="right"/>
      <protection/>
    </xf>
    <xf numFmtId="167" fontId="20" fillId="0" borderId="2" xfId="0" applyNumberFormat="1" applyFont="1" applyFill="1" applyBorder="1" applyAlignment="1" applyProtection="1">
      <alignment horizontal="right"/>
      <protection/>
    </xf>
    <xf numFmtId="164" fontId="5" fillId="0" borderId="35" xfId="0" applyFont="1" applyFill="1" applyBorder="1" applyAlignment="1" applyProtection="1">
      <alignment/>
      <protection/>
    </xf>
    <xf numFmtId="167" fontId="5" fillId="0" borderId="38" xfId="0" applyNumberFormat="1" applyFont="1" applyFill="1" applyBorder="1" applyAlignment="1" applyProtection="1">
      <alignment horizontal="right"/>
      <protection/>
    </xf>
    <xf numFmtId="167" fontId="5" fillId="0" borderId="39" xfId="0" applyNumberFormat="1" applyFont="1" applyFill="1" applyBorder="1" applyAlignment="1" applyProtection="1">
      <alignment horizontal="right"/>
      <protection/>
    </xf>
    <xf numFmtId="167" fontId="5" fillId="0" borderId="38" xfId="0" applyNumberFormat="1" applyFont="1" applyFill="1" applyBorder="1" applyAlignment="1" applyProtection="1">
      <alignment horizontal="center"/>
      <protection/>
    </xf>
    <xf numFmtId="167" fontId="5" fillId="0" borderId="37" xfId="0" applyNumberFormat="1" applyFont="1" applyFill="1" applyBorder="1" applyAlignment="1" applyProtection="1">
      <alignment horizontal="right"/>
      <protection/>
    </xf>
    <xf numFmtId="167" fontId="5" fillId="0" borderId="40" xfId="0" applyNumberFormat="1" applyFont="1" applyFill="1" applyBorder="1" applyAlignment="1" applyProtection="1">
      <alignment horizontal="right"/>
      <protection/>
    </xf>
    <xf numFmtId="167" fontId="20" fillId="0" borderId="48" xfId="0" applyNumberFormat="1" applyFont="1" applyFill="1" applyBorder="1" applyAlignment="1" applyProtection="1">
      <alignment horizontal="right"/>
      <protection/>
    </xf>
    <xf numFmtId="164" fontId="0" fillId="4" borderId="35" xfId="0" applyFont="1" applyFill="1" applyBorder="1" applyAlignment="1">
      <alignment/>
    </xf>
    <xf numFmtId="164" fontId="0" fillId="5" borderId="35" xfId="0" applyFont="1" applyFill="1" applyBorder="1" applyAlignment="1">
      <alignment/>
    </xf>
    <xf numFmtId="166" fontId="1" fillId="6" borderId="35" xfId="0" applyNumberFormat="1" applyFont="1" applyFill="1" applyBorder="1" applyAlignment="1">
      <alignment/>
    </xf>
    <xf numFmtId="166" fontId="9" fillId="7" borderId="35" xfId="0" applyNumberFormat="1" applyFont="1" applyFill="1" applyBorder="1" applyAlignment="1" applyProtection="1">
      <alignment horizontal="right"/>
      <protection/>
    </xf>
    <xf numFmtId="166" fontId="1" fillId="8" borderId="35" xfId="0" applyNumberFormat="1" applyFont="1" applyFill="1" applyBorder="1" applyAlignment="1" applyProtection="1">
      <alignment horizontal="right"/>
      <protection/>
    </xf>
    <xf numFmtId="166" fontId="1" fillId="0" borderId="35" xfId="0" applyNumberFormat="1" applyFont="1" applyFill="1" applyBorder="1" applyAlignment="1" applyProtection="1">
      <alignment horizontal="right"/>
      <protection/>
    </xf>
    <xf numFmtId="167" fontId="2" fillId="0" borderId="35" xfId="0" applyNumberFormat="1" applyFont="1" applyFill="1" applyBorder="1" applyAlignment="1" applyProtection="1">
      <alignment/>
      <protection/>
    </xf>
    <xf numFmtId="164" fontId="16" fillId="0" borderId="35" xfId="0" applyFont="1" applyFill="1" applyBorder="1" applyAlignment="1" applyProtection="1">
      <alignment horizontal="center"/>
      <protection/>
    </xf>
    <xf numFmtId="164" fontId="16" fillId="0" borderId="35" xfId="0" applyFont="1" applyFill="1" applyBorder="1" applyAlignment="1" applyProtection="1">
      <alignment/>
      <protection/>
    </xf>
    <xf numFmtId="164" fontId="16" fillId="0" borderId="35" xfId="0" applyFont="1" applyFill="1" applyBorder="1" applyAlignment="1">
      <alignment/>
    </xf>
    <xf numFmtId="164" fontId="0" fillId="0" borderId="35" xfId="0" applyFont="1" applyFill="1" applyBorder="1" applyAlignment="1">
      <alignment/>
    </xf>
    <xf numFmtId="164" fontId="0" fillId="0" borderId="35" xfId="0" applyFont="1" applyBorder="1" applyAlignment="1">
      <alignment/>
    </xf>
    <xf numFmtId="164" fontId="0" fillId="0" borderId="1" xfId="0" applyFont="1" applyBorder="1" applyAlignment="1">
      <alignment/>
    </xf>
    <xf numFmtId="165" fontId="0" fillId="0" borderId="49" xfId="0" applyNumberFormat="1" applyFont="1" applyBorder="1" applyAlignment="1">
      <alignment horizontal="right"/>
    </xf>
    <xf numFmtId="164" fontId="0" fillId="11" borderId="9" xfId="0" applyFont="1" applyFill="1" applyBorder="1" applyAlignment="1">
      <alignment/>
    </xf>
    <xf numFmtId="164" fontId="0" fillId="0" borderId="18" xfId="0" applyFont="1" applyBorder="1" applyAlignment="1">
      <alignment/>
    </xf>
    <xf numFmtId="164" fontId="0" fillId="0" borderId="1" xfId="0" applyFont="1" applyFill="1" applyBorder="1" applyAlignment="1">
      <alignment/>
    </xf>
    <xf numFmtId="164" fontId="0" fillId="11" borderId="45" xfId="0" applyFont="1" applyFill="1" applyBorder="1" applyAlignment="1">
      <alignment/>
    </xf>
    <xf numFmtId="164" fontId="0" fillId="0" borderId="42" xfId="0" applyFont="1" applyFill="1" applyBorder="1" applyAlignment="1">
      <alignment/>
    </xf>
    <xf numFmtId="164" fontId="0" fillId="0" borderId="25" xfId="0" applyFont="1" applyFill="1" applyBorder="1" applyAlignment="1">
      <alignment/>
    </xf>
    <xf numFmtId="165" fontId="5" fillId="0" borderId="14" xfId="0" applyNumberFormat="1" applyFont="1" applyFill="1" applyBorder="1" applyAlignment="1" applyProtection="1">
      <alignment horizontal="right"/>
      <protection/>
    </xf>
    <xf numFmtId="167" fontId="5" fillId="0" borderId="45" xfId="0" applyNumberFormat="1" applyFont="1" applyFill="1" applyBorder="1" applyAlignment="1" applyProtection="1">
      <alignment horizontal="right"/>
      <protection/>
    </xf>
    <xf numFmtId="167" fontId="5" fillId="0" borderId="42" xfId="0" applyNumberFormat="1" applyFont="1" applyFill="1" applyBorder="1" applyAlignment="1" applyProtection="1">
      <alignment horizontal="center"/>
      <protection/>
    </xf>
    <xf numFmtId="167" fontId="5" fillId="0" borderId="42" xfId="0" applyNumberFormat="1" applyFont="1" applyFill="1" applyBorder="1" applyAlignment="1" applyProtection="1">
      <alignment horizontal="right"/>
      <protection/>
    </xf>
    <xf numFmtId="167" fontId="20" fillId="0" borderId="0" xfId="0" applyNumberFormat="1" applyFont="1" applyFill="1" applyBorder="1" applyAlignment="1" applyProtection="1">
      <alignment horizontal="right"/>
      <protection/>
    </xf>
    <xf numFmtId="164" fontId="21" fillId="0" borderId="16" xfId="0" applyFont="1" applyBorder="1" applyAlignment="1">
      <alignment horizontal="left"/>
    </xf>
    <xf numFmtId="164" fontId="22" fillId="0" borderId="16" xfId="0" applyFont="1" applyBorder="1" applyAlignment="1">
      <alignment horizontal="left"/>
    </xf>
    <xf numFmtId="164" fontId="0" fillId="0" borderId="16" xfId="0" applyFont="1" applyBorder="1" applyAlignment="1">
      <alignment horizontal="left"/>
    </xf>
    <xf numFmtId="166" fontId="19" fillId="8" borderId="35" xfId="0" applyNumberFormat="1" applyFont="1" applyFill="1" applyBorder="1" applyAlignment="1" applyProtection="1">
      <alignment horizontal="right"/>
      <protection/>
    </xf>
    <xf numFmtId="166" fontId="1" fillId="0" borderId="35" xfId="0" applyNumberFormat="1" applyFont="1" applyFill="1" applyBorder="1" applyAlignment="1" applyProtection="1">
      <alignment horizontal="right"/>
      <protection/>
    </xf>
    <xf numFmtId="167" fontId="2" fillId="0" borderId="35" xfId="0" applyNumberFormat="1" applyFont="1" applyFill="1" applyBorder="1" applyAlignment="1" applyProtection="1">
      <alignment/>
      <protection/>
    </xf>
    <xf numFmtId="164" fontId="2" fillId="0" borderId="35" xfId="0" applyFont="1" applyFill="1" applyBorder="1" applyAlignment="1" applyProtection="1">
      <alignment horizontal="center"/>
      <protection/>
    </xf>
    <xf numFmtId="164" fontId="2" fillId="0" borderId="35" xfId="0" applyFont="1" applyFill="1" applyBorder="1" applyAlignment="1" applyProtection="1">
      <alignment/>
      <protection/>
    </xf>
    <xf numFmtId="164" fontId="2" fillId="0" borderId="35" xfId="0" applyFont="1" applyFill="1" applyBorder="1" applyAlignment="1">
      <alignment/>
    </xf>
    <xf numFmtId="164" fontId="0" fillId="0" borderId="35" xfId="0" applyFont="1" applyFill="1" applyBorder="1" applyAlignment="1">
      <alignment/>
    </xf>
    <xf numFmtId="164" fontId="0" fillId="0" borderId="35" xfId="0" applyFont="1" applyBorder="1" applyAlignment="1">
      <alignment/>
    </xf>
    <xf numFmtId="166" fontId="1" fillId="8" borderId="9" xfId="0" applyNumberFormat="1" applyFont="1" applyFill="1" applyBorder="1" applyAlignment="1" applyProtection="1">
      <alignment horizontal="right"/>
      <protection/>
    </xf>
    <xf numFmtId="166" fontId="1" fillId="0" borderId="9" xfId="0" applyNumberFormat="1" applyFont="1" applyFill="1" applyBorder="1" applyAlignment="1" applyProtection="1">
      <alignment horizontal="right"/>
      <protection/>
    </xf>
    <xf numFmtId="167" fontId="2" fillId="0" borderId="9" xfId="0" applyNumberFormat="1" applyFont="1" applyFill="1" applyBorder="1" applyAlignment="1" applyProtection="1">
      <alignment/>
      <protection/>
    </xf>
    <xf numFmtId="164" fontId="2" fillId="0" borderId="9" xfId="0" applyFont="1" applyFill="1" applyBorder="1" applyAlignment="1" applyProtection="1">
      <alignment horizontal="center"/>
      <protection/>
    </xf>
    <xf numFmtId="164" fontId="2" fillId="0" borderId="9" xfId="0" applyFont="1" applyFill="1" applyBorder="1" applyAlignment="1">
      <alignment/>
    </xf>
    <xf numFmtId="164" fontId="0" fillId="0" borderId="9" xfId="0" applyFont="1" applyFill="1" applyBorder="1" applyAlignment="1">
      <alignment/>
    </xf>
    <xf numFmtId="164" fontId="0" fillId="0" borderId="9" xfId="0" applyFont="1" applyBorder="1" applyAlignment="1">
      <alignment/>
    </xf>
    <xf numFmtId="164" fontId="0" fillId="4" borderId="0" xfId="0" applyFont="1" applyFill="1" applyBorder="1" applyAlignment="1">
      <alignment/>
    </xf>
    <xf numFmtId="164" fontId="0" fillId="5" borderId="0" xfId="0" applyFont="1" applyFill="1" applyBorder="1" applyAlignment="1">
      <alignment/>
    </xf>
    <xf numFmtId="166" fontId="1" fillId="6" borderId="0" xfId="0" applyNumberFormat="1" applyFont="1" applyFill="1" applyBorder="1" applyAlignment="1">
      <alignment/>
    </xf>
    <xf numFmtId="164" fontId="21" fillId="0" borderId="16" xfId="0" applyFont="1" applyBorder="1" applyAlignment="1">
      <alignment horizontal="left" vertical="top"/>
    </xf>
    <xf numFmtId="164" fontId="5" fillId="0" borderId="0" xfId="0" applyNumberFormat="1" applyFont="1" applyFill="1" applyBorder="1" applyAlignment="1" applyProtection="1">
      <alignment vertical="top"/>
      <protection/>
    </xf>
    <xf numFmtId="164" fontId="5" fillId="0" borderId="17" xfId="0" applyFont="1" applyFill="1" applyBorder="1" applyAlignment="1" applyProtection="1">
      <alignment horizontal="justify" wrapText="1"/>
      <protection/>
    </xf>
    <xf numFmtId="169" fontId="5" fillId="0" borderId="1" xfId="0" applyNumberFormat="1" applyFont="1" applyFill="1" applyBorder="1" applyAlignment="1" applyProtection="1">
      <alignment horizontal="center"/>
      <protection/>
    </xf>
    <xf numFmtId="164" fontId="0" fillId="0" borderId="0" xfId="0" applyFont="1" applyBorder="1" applyAlignment="1">
      <alignment/>
    </xf>
    <xf numFmtId="164" fontId="5" fillId="2" borderId="17" xfId="0" applyFont="1" applyFill="1" applyBorder="1" applyAlignment="1" applyProtection="1">
      <alignment horizontal="center"/>
      <protection/>
    </xf>
    <xf numFmtId="167" fontId="5" fillId="3" borderId="17" xfId="0" applyNumberFormat="1" applyFont="1" applyFill="1" applyBorder="1" applyAlignment="1" applyProtection="1">
      <alignment horizontal="right"/>
      <protection/>
    </xf>
    <xf numFmtId="164" fontId="5" fillId="3" borderId="17" xfId="0" applyFont="1" applyFill="1" applyBorder="1" applyAlignment="1" applyProtection="1">
      <alignment horizontal="right"/>
      <protection/>
    </xf>
    <xf numFmtId="165" fontId="10" fillId="0" borderId="1" xfId="0" applyNumberFormat="1" applyFont="1" applyFill="1" applyBorder="1" applyAlignment="1" applyProtection="1">
      <alignment horizontal="right"/>
      <protection/>
    </xf>
    <xf numFmtId="165" fontId="10" fillId="3" borderId="0" xfId="0" applyNumberFormat="1" applyFont="1" applyFill="1" applyBorder="1" applyAlignment="1" applyProtection="1">
      <alignment horizontal="right"/>
      <protection/>
    </xf>
    <xf numFmtId="167" fontId="16" fillId="0" borderId="0" xfId="0" applyNumberFormat="1" applyFont="1" applyFill="1" applyBorder="1" applyAlignment="1" applyProtection="1">
      <alignment/>
      <protection/>
    </xf>
    <xf numFmtId="166" fontId="19" fillId="0" borderId="0" xfId="0" applyNumberFormat="1" applyFont="1" applyFill="1" applyBorder="1" applyAlignment="1" applyProtection="1">
      <alignment horizontal="right"/>
      <protection/>
    </xf>
    <xf numFmtId="164" fontId="16" fillId="0" borderId="0" xfId="0" applyFont="1" applyFill="1" applyBorder="1" applyAlignment="1" applyProtection="1">
      <alignment vertical="center"/>
      <protection/>
    </xf>
    <xf numFmtId="164" fontId="23" fillId="0" borderId="0" xfId="0" applyFont="1" applyFill="1" applyBorder="1" applyAlignment="1">
      <alignment/>
    </xf>
    <xf numFmtId="164" fontId="23" fillId="12" borderId="0" xfId="0" applyFont="1" applyFill="1" applyBorder="1" applyAlignment="1">
      <alignment/>
    </xf>
    <xf numFmtId="164" fontId="21" fillId="0" borderId="34" xfId="0" applyFont="1" applyBorder="1" applyAlignment="1">
      <alignment horizontal="left"/>
    </xf>
    <xf numFmtId="164" fontId="5" fillId="0" borderId="37" xfId="0" applyFont="1" applyFill="1" applyBorder="1" applyAlignment="1" applyProtection="1">
      <alignment horizontal="center"/>
      <protection/>
    </xf>
    <xf numFmtId="169" fontId="5" fillId="0" borderId="38" xfId="0" applyNumberFormat="1" applyFont="1" applyFill="1" applyBorder="1" applyAlignment="1" applyProtection="1">
      <alignment horizontal="center"/>
      <protection/>
    </xf>
    <xf numFmtId="167" fontId="5" fillId="0" borderId="48" xfId="0" applyNumberFormat="1" applyFont="1" applyFill="1" applyBorder="1" applyAlignment="1" applyProtection="1">
      <alignment horizontal="right"/>
      <protection/>
    </xf>
    <xf numFmtId="166" fontId="1" fillId="6" borderId="35" xfId="0" applyNumberFormat="1" applyFont="1" applyFill="1" applyBorder="1" applyAlignment="1" applyProtection="1">
      <alignment/>
      <protection/>
    </xf>
    <xf numFmtId="166" fontId="9" fillId="7" borderId="35" xfId="0" applyNumberFormat="1" applyFont="1" applyFill="1" applyBorder="1" applyAlignment="1" applyProtection="1">
      <alignment/>
      <protection/>
    </xf>
    <xf numFmtId="166" fontId="1" fillId="8" borderId="35" xfId="0" applyNumberFormat="1" applyFont="1" applyFill="1" applyBorder="1" applyAlignment="1" applyProtection="1">
      <alignment/>
      <protection/>
    </xf>
    <xf numFmtId="164" fontId="2" fillId="0" borderId="35" xfId="0" applyFont="1" applyFill="1" applyBorder="1" applyAlignment="1" applyProtection="1">
      <alignment horizontal="center"/>
      <protection/>
    </xf>
    <xf numFmtId="164" fontId="2" fillId="0" borderId="35" xfId="0" applyFont="1" applyFill="1" applyBorder="1" applyAlignment="1" applyProtection="1">
      <alignment/>
      <protection/>
    </xf>
    <xf numFmtId="164" fontId="5" fillId="0" borderId="18" xfId="0" applyFont="1" applyFill="1" applyBorder="1" applyAlignment="1" applyProtection="1">
      <alignment horizontal="center"/>
      <protection/>
    </xf>
    <xf numFmtId="166" fontId="1" fillId="8" borderId="35" xfId="0" applyNumberFormat="1" applyFont="1" applyFill="1" applyBorder="1" applyAlignment="1" applyProtection="1">
      <alignment/>
      <protection/>
    </xf>
    <xf numFmtId="167" fontId="5" fillId="0" borderId="25" xfId="0" applyNumberFormat="1" applyFont="1" applyFill="1" applyBorder="1" applyAlignment="1" applyProtection="1">
      <alignment horizontal="right"/>
      <protection/>
    </xf>
    <xf numFmtId="167" fontId="5" fillId="0" borderId="2" xfId="0" applyNumberFormat="1" applyFont="1" applyFill="1" applyBorder="1" applyAlignment="1" applyProtection="1">
      <alignment horizontal="right"/>
      <protection/>
    </xf>
    <xf numFmtId="166" fontId="9" fillId="7" borderId="0" xfId="0" applyNumberFormat="1" applyFont="1" applyFill="1" applyBorder="1" applyAlignment="1" applyProtection="1">
      <alignment/>
      <protection/>
    </xf>
    <xf numFmtId="166" fontId="9" fillId="4" borderId="0" xfId="0" applyNumberFormat="1" applyFont="1" applyFill="1" applyBorder="1" applyAlignment="1" applyProtection="1">
      <alignment/>
      <protection/>
    </xf>
    <xf numFmtId="166" fontId="9" fillId="5" borderId="0" xfId="0" applyNumberFormat="1" applyFont="1" applyFill="1" applyBorder="1" applyAlignment="1" applyProtection="1">
      <alignment/>
      <protection/>
    </xf>
    <xf numFmtId="164" fontId="4" fillId="0" borderId="17" xfId="0" applyFont="1" applyFill="1" applyBorder="1" applyAlignment="1" applyProtection="1">
      <alignment/>
      <protection/>
    </xf>
    <xf numFmtId="165" fontId="5" fillId="0" borderId="1" xfId="0" applyNumberFormat="1" applyFont="1" applyFill="1" applyBorder="1" applyAlignment="1">
      <alignment horizontal="right"/>
    </xf>
    <xf numFmtId="164" fontId="5" fillId="0" borderId="0" xfId="0" applyFont="1" applyBorder="1" applyAlignment="1" applyProtection="1">
      <alignment/>
      <protection/>
    </xf>
    <xf numFmtId="164" fontId="5" fillId="0" borderId="17" xfId="0" applyFont="1" applyBorder="1" applyAlignment="1" applyProtection="1">
      <alignment/>
      <protection/>
    </xf>
    <xf numFmtId="164" fontId="5" fillId="0" borderId="0" xfId="0" applyFont="1" applyBorder="1" applyAlignment="1" applyProtection="1">
      <alignment vertical="center"/>
      <protection/>
    </xf>
    <xf numFmtId="164" fontId="4" fillId="0" borderId="17" xfId="0" applyFont="1" applyBorder="1" applyAlignment="1" applyProtection="1">
      <alignment vertical="center"/>
      <protection/>
    </xf>
    <xf numFmtId="164" fontId="8" fillId="0" borderId="17" xfId="0" applyFont="1" applyBorder="1" applyAlignment="1" applyProtection="1">
      <alignment/>
      <protection/>
    </xf>
    <xf numFmtId="168" fontId="5" fillId="0" borderId="17" xfId="0" applyNumberFormat="1" applyFont="1" applyBorder="1" applyAlignment="1" applyProtection="1">
      <alignment/>
      <protection/>
    </xf>
    <xf numFmtId="173" fontId="5" fillId="3" borderId="0" xfId="0" applyNumberFormat="1" applyFont="1" applyFill="1" applyBorder="1" applyAlignment="1">
      <alignment/>
    </xf>
    <xf numFmtId="164" fontId="5" fillId="0" borderId="14" xfId="0" applyFont="1" applyBorder="1" applyAlignment="1" applyProtection="1">
      <alignment/>
      <protection/>
    </xf>
    <xf numFmtId="164" fontId="5" fillId="0" borderId="35" xfId="0" applyFont="1" applyBorder="1" applyAlignment="1" applyProtection="1">
      <alignment/>
      <protection/>
    </xf>
    <xf numFmtId="164" fontId="5" fillId="0" borderId="36" xfId="0" applyFont="1" applyBorder="1" applyAlignment="1" applyProtection="1">
      <alignment/>
      <protection/>
    </xf>
    <xf numFmtId="164" fontId="2" fillId="0" borderId="48" xfId="0" applyFont="1" applyFill="1" applyBorder="1" applyAlignment="1">
      <alignment/>
    </xf>
    <xf numFmtId="166" fontId="1" fillId="4" borderId="35" xfId="0" applyNumberFormat="1" applyFont="1" applyFill="1" applyBorder="1" applyAlignment="1">
      <alignment/>
    </xf>
    <xf numFmtId="166" fontId="1" fillId="5" borderId="35" xfId="0" applyNumberFormat="1" applyFont="1" applyFill="1" applyBorder="1" applyAlignment="1">
      <alignment/>
    </xf>
    <xf numFmtId="166" fontId="9" fillId="7" borderId="35" xfId="0" applyNumberFormat="1" applyFont="1" applyFill="1" applyBorder="1" applyAlignment="1">
      <alignment/>
    </xf>
    <xf numFmtId="166" fontId="1" fillId="7" borderId="35" xfId="0" applyNumberFormat="1" applyFont="1" applyFill="1" applyBorder="1" applyAlignment="1">
      <alignment/>
    </xf>
    <xf numFmtId="166" fontId="1" fillId="8" borderId="35" xfId="0" applyNumberFormat="1" applyFont="1" applyFill="1" applyBorder="1" applyAlignment="1" applyProtection="1">
      <alignment horizontal="center"/>
      <protection/>
    </xf>
    <xf numFmtId="164" fontId="2" fillId="0" borderId="35" xfId="0" applyFont="1" applyFill="1" applyBorder="1" applyAlignment="1" applyProtection="1">
      <alignment vertical="center"/>
      <protection/>
    </xf>
    <xf numFmtId="166" fontId="1" fillId="4" borderId="35" xfId="0" applyNumberFormat="1" applyFont="1" applyFill="1" applyBorder="1" applyAlignment="1" applyProtection="1">
      <alignment horizontal="center"/>
      <protection/>
    </xf>
    <xf numFmtId="166" fontId="1" fillId="5" borderId="35" xfId="0" applyNumberFormat="1" applyFont="1" applyFill="1" applyBorder="1" applyAlignment="1" applyProtection="1">
      <alignment horizontal="center"/>
      <protection/>
    </xf>
    <xf numFmtId="166" fontId="1" fillId="6" borderId="35" xfId="0" applyNumberFormat="1" applyFont="1" applyFill="1" applyBorder="1" applyAlignment="1" applyProtection="1">
      <alignment horizontal="center"/>
      <protection/>
    </xf>
    <xf numFmtId="166" fontId="1" fillId="7" borderId="35" xfId="0" applyNumberFormat="1" applyFont="1" applyFill="1" applyBorder="1" applyAlignment="1" applyProtection="1">
      <alignment horizontal="center"/>
      <protection/>
    </xf>
    <xf numFmtId="164" fontId="2" fillId="0" borderId="0" xfId="0" applyFont="1" applyFill="1" applyBorder="1" applyAlignment="1" applyProtection="1">
      <alignment/>
      <protection/>
    </xf>
    <xf numFmtId="164" fontId="10" fillId="0" borderId="18" xfId="0" applyFont="1" applyBorder="1" applyAlignment="1" applyProtection="1">
      <alignment horizontal="center"/>
      <protection/>
    </xf>
    <xf numFmtId="168" fontId="8" fillId="0" borderId="17" xfId="0" applyNumberFormat="1" applyFont="1" applyBorder="1" applyAlignment="1" applyProtection="1">
      <alignment vertical="center"/>
      <protection/>
    </xf>
    <xf numFmtId="166" fontId="1" fillId="8" borderId="35" xfId="0" applyNumberFormat="1" applyFont="1" applyFill="1" applyBorder="1" applyAlignment="1" applyProtection="1">
      <alignment vertical="center"/>
      <protection/>
    </xf>
    <xf numFmtId="164" fontId="2" fillId="0" borderId="35" xfId="0" applyFont="1" applyFill="1" applyBorder="1" applyAlignment="1" applyProtection="1">
      <alignment/>
      <protection/>
    </xf>
    <xf numFmtId="170" fontId="5" fillId="0" borderId="0" xfId="0" applyNumberFormat="1" applyFont="1" applyFill="1" applyBorder="1" applyAlignment="1" applyProtection="1">
      <alignment horizontal="right"/>
      <protection/>
    </xf>
    <xf numFmtId="168" fontId="5" fillId="0" borderId="17" xfId="0" applyNumberFormat="1" applyFont="1" applyBorder="1" applyAlignment="1" applyProtection="1">
      <alignment/>
      <protection/>
    </xf>
    <xf numFmtId="168" fontId="8" fillId="0" borderId="17" xfId="0" applyNumberFormat="1" applyFont="1" applyBorder="1" applyAlignment="1" applyProtection="1">
      <alignment/>
      <protection/>
    </xf>
    <xf numFmtId="167" fontId="5" fillId="3" borderId="0" xfId="0" applyNumberFormat="1" applyFont="1" applyFill="1" applyBorder="1" applyAlignment="1" applyProtection="1">
      <alignment/>
      <protection/>
    </xf>
    <xf numFmtId="164" fontId="5" fillId="3" borderId="0" xfId="0" applyFont="1" applyFill="1" applyBorder="1" applyAlignment="1" applyProtection="1">
      <alignment horizontal="center"/>
      <protection/>
    </xf>
    <xf numFmtId="167" fontId="5" fillId="0" borderId="35" xfId="0" applyNumberFormat="1" applyFont="1" applyFill="1" applyBorder="1" applyAlignment="1" applyProtection="1">
      <alignment horizontal="right"/>
      <protection/>
    </xf>
    <xf numFmtId="166" fontId="1" fillId="4" borderId="35" xfId="0" applyNumberFormat="1" applyFont="1" applyFill="1" applyBorder="1" applyAlignment="1" applyProtection="1">
      <alignment horizontal="right"/>
      <protection/>
    </xf>
    <xf numFmtId="166" fontId="1" fillId="5" borderId="35" xfId="0" applyNumberFormat="1" applyFont="1" applyFill="1" applyBorder="1" applyAlignment="1" applyProtection="1">
      <alignment horizontal="right"/>
      <protection/>
    </xf>
    <xf numFmtId="166" fontId="1" fillId="6" borderId="35" xfId="0" applyNumberFormat="1" applyFont="1" applyFill="1" applyBorder="1" applyAlignment="1" applyProtection="1">
      <alignment horizontal="right"/>
      <protection/>
    </xf>
    <xf numFmtId="166" fontId="1" fillId="7" borderId="35" xfId="0" applyNumberFormat="1" applyFont="1" applyFill="1" applyBorder="1" applyAlignment="1" applyProtection="1">
      <alignment horizontal="right"/>
      <protection/>
    </xf>
    <xf numFmtId="166" fontId="1" fillId="0" borderId="35" xfId="0" applyNumberFormat="1" applyFont="1" applyFill="1" applyBorder="1" applyAlignment="1">
      <alignment horizontal="right"/>
    </xf>
    <xf numFmtId="164" fontId="2" fillId="0" borderId="35" xfId="0" applyFont="1" applyFill="1" applyBorder="1" applyAlignment="1">
      <alignment horizontal="center"/>
    </xf>
    <xf numFmtId="164" fontId="4" fillId="0" borderId="17" xfId="0" applyFont="1" applyBorder="1" applyAlignment="1" applyProtection="1">
      <alignment/>
      <protection/>
    </xf>
    <xf numFmtId="170" fontId="5" fillId="3" borderId="0" xfId="0" applyNumberFormat="1" applyFont="1" applyFill="1" applyBorder="1" applyAlignment="1" applyProtection="1">
      <alignment horizontal="right" vertical="center"/>
      <protection/>
    </xf>
    <xf numFmtId="164" fontId="4" fillId="0" borderId="17" xfId="0" applyFont="1" applyBorder="1" applyAlignment="1" applyProtection="1">
      <alignment/>
      <protection/>
    </xf>
    <xf numFmtId="164" fontId="8" fillId="0" borderId="17" xfId="0" applyFont="1" applyBorder="1" applyAlignment="1" applyProtection="1">
      <alignment/>
      <protection/>
    </xf>
    <xf numFmtId="170" fontId="5" fillId="10" borderId="0" xfId="0" applyNumberFormat="1" applyFont="1" applyFill="1" applyBorder="1" applyAlignment="1" applyProtection="1">
      <alignment horizontal="right"/>
      <protection/>
    </xf>
    <xf numFmtId="164" fontId="5" fillId="0" borderId="17" xfId="0" applyFont="1" applyBorder="1" applyAlignment="1" applyProtection="1">
      <alignment/>
      <protection/>
    </xf>
    <xf numFmtId="164" fontId="5" fillId="0" borderId="36" xfId="0" applyFont="1" applyBorder="1" applyAlignment="1" applyProtection="1">
      <alignment/>
      <protection/>
    </xf>
    <xf numFmtId="170" fontId="5" fillId="3" borderId="35" xfId="0" applyNumberFormat="1" applyFont="1" applyFill="1" applyBorder="1" applyAlignment="1" applyProtection="1">
      <alignment horizontal="right"/>
      <protection/>
    </xf>
    <xf numFmtId="167" fontId="5" fillId="0" borderId="48" xfId="0" applyNumberFormat="1" applyFont="1" applyFill="1" applyBorder="1" applyAlignment="1" applyProtection="1">
      <alignment horizontal="center"/>
      <protection/>
    </xf>
    <xf numFmtId="168" fontId="8" fillId="0" borderId="36" xfId="0" applyNumberFormat="1" applyFont="1" applyBorder="1" applyAlignment="1" applyProtection="1">
      <alignment/>
      <protection/>
    </xf>
    <xf numFmtId="164" fontId="5" fillId="0" borderId="0" xfId="0" applyFont="1" applyBorder="1" applyAlignment="1" applyProtection="1">
      <alignment/>
      <protection/>
    </xf>
    <xf numFmtId="168" fontId="4" fillId="0" borderId="17" xfId="0" applyNumberFormat="1" applyFont="1" applyBorder="1" applyAlignment="1" applyProtection="1">
      <alignment/>
      <protection/>
    </xf>
    <xf numFmtId="168" fontId="4" fillId="0" borderId="17" xfId="0" applyNumberFormat="1" applyFont="1" applyBorder="1" applyAlignment="1" applyProtection="1">
      <alignment/>
      <protection/>
    </xf>
    <xf numFmtId="168" fontId="5" fillId="0" borderId="17" xfId="0" applyNumberFormat="1" applyFont="1" applyBorder="1" applyAlignment="1" applyProtection="1">
      <alignment vertical="center"/>
      <protection/>
    </xf>
    <xf numFmtId="171" fontId="5" fillId="0" borderId="17" xfId="0" applyNumberFormat="1" applyFont="1" applyBorder="1" applyAlignment="1" applyProtection="1">
      <alignment/>
      <protection/>
    </xf>
    <xf numFmtId="164" fontId="5" fillId="2" borderId="0" xfId="0" applyFont="1" applyFill="1" applyBorder="1" applyAlignment="1" applyProtection="1">
      <alignment horizontal="left"/>
      <protection/>
    </xf>
    <xf numFmtId="171" fontId="5" fillId="0" borderId="17" xfId="0" applyNumberFormat="1" applyFont="1" applyFill="1" applyBorder="1" applyAlignment="1" applyProtection="1">
      <alignment horizontal="justify" wrapText="1"/>
      <protection/>
    </xf>
    <xf numFmtId="168" fontId="5" fillId="0" borderId="17" xfId="0" applyNumberFormat="1" applyFont="1" applyBorder="1" applyAlignment="1" applyProtection="1">
      <alignment/>
      <protection/>
    </xf>
    <xf numFmtId="167" fontId="2" fillId="0" borderId="0" xfId="0" applyNumberFormat="1" applyFont="1" applyFill="1" applyBorder="1" applyAlignment="1" applyProtection="1">
      <alignment/>
      <protection/>
    </xf>
    <xf numFmtId="164" fontId="0" fillId="0" borderId="0" xfId="0" applyFont="1" applyFill="1" applyBorder="1" applyAlignment="1">
      <alignment/>
    </xf>
    <xf numFmtId="164" fontId="5" fillId="0" borderId="0" xfId="0" applyFont="1" applyFill="1" applyBorder="1" applyAlignment="1" applyProtection="1">
      <alignment/>
      <protection/>
    </xf>
    <xf numFmtId="166" fontId="1" fillId="8" borderId="0" xfId="0" applyNumberFormat="1" applyFont="1" applyFill="1" applyBorder="1" applyAlignment="1" applyProtection="1">
      <alignment/>
      <protection/>
    </xf>
    <xf numFmtId="168" fontId="4" fillId="0" borderId="17" xfId="0" applyNumberFormat="1" applyFont="1" applyBorder="1" applyAlignment="1" applyProtection="1">
      <alignment horizontal="justify" vertical="center" wrapText="1"/>
      <protection/>
    </xf>
    <xf numFmtId="164" fontId="0" fillId="0" borderId="17" xfId="0" applyFont="1" applyBorder="1" applyAlignment="1">
      <alignment horizontal="justify" vertical="center" wrapText="1"/>
    </xf>
    <xf numFmtId="164" fontId="0" fillId="0" borderId="36" xfId="0" applyFont="1" applyBorder="1" applyAlignment="1">
      <alignment horizontal="justify" vertical="center" wrapText="1"/>
    </xf>
    <xf numFmtId="164" fontId="5" fillId="0" borderId="48" xfId="0" applyFont="1" applyFill="1" applyBorder="1" applyAlignment="1" applyProtection="1">
      <alignment vertical="center"/>
      <protection/>
    </xf>
    <xf numFmtId="166" fontId="1" fillId="8" borderId="35" xfId="0" applyNumberFormat="1" applyFont="1" applyFill="1" applyBorder="1" applyAlignment="1">
      <alignment/>
    </xf>
    <xf numFmtId="164" fontId="6" fillId="0" borderId="35" xfId="0" applyFont="1" applyFill="1" applyBorder="1" applyAlignment="1" applyProtection="1">
      <alignment horizontal="center"/>
      <protection/>
    </xf>
    <xf numFmtId="164" fontId="6" fillId="0" borderId="35" xfId="0" applyFont="1" applyFill="1" applyBorder="1" applyAlignment="1" applyProtection="1">
      <alignment/>
      <protection/>
    </xf>
    <xf numFmtId="164" fontId="5" fillId="0" borderId="0" xfId="0" applyNumberFormat="1" applyFont="1" applyBorder="1" applyAlignment="1" applyProtection="1">
      <alignment/>
      <protection/>
    </xf>
    <xf numFmtId="168" fontId="8" fillId="0" borderId="17" xfId="0" applyNumberFormat="1" applyFont="1" applyBorder="1" applyAlignment="1" applyProtection="1">
      <alignment/>
      <protection/>
    </xf>
    <xf numFmtId="167" fontId="5" fillId="0" borderId="14" xfId="0" applyNumberFormat="1" applyFont="1" applyFill="1" applyBorder="1" applyAlignment="1" applyProtection="1">
      <alignment horizontal="center"/>
      <protection/>
    </xf>
    <xf numFmtId="167" fontId="5" fillId="0" borderId="14" xfId="0" applyNumberFormat="1" applyFont="1" applyFill="1" applyBorder="1" applyAlignment="1" applyProtection="1">
      <alignment horizontal="center" vertical="center"/>
      <protection/>
    </xf>
    <xf numFmtId="169" fontId="5" fillId="0" borderId="14" xfId="0" applyNumberFormat="1" applyFont="1" applyFill="1" applyBorder="1" applyAlignment="1" applyProtection="1">
      <alignment horizontal="center"/>
      <protection/>
    </xf>
    <xf numFmtId="167" fontId="6" fillId="0" borderId="0" xfId="0" applyNumberFormat="1" applyFont="1" applyFill="1" applyBorder="1" applyAlignment="1" applyProtection="1">
      <alignment horizontal="center"/>
      <protection/>
    </xf>
    <xf numFmtId="168" fontId="5" fillId="0" borderId="36" xfId="0" applyNumberFormat="1" applyFont="1" applyFill="1" applyBorder="1" applyAlignment="1" applyProtection="1">
      <alignment/>
      <protection/>
    </xf>
    <xf numFmtId="164" fontId="5" fillId="0" borderId="39" xfId="0" applyFont="1" applyFill="1" applyBorder="1" applyAlignment="1" applyProtection="1">
      <alignment/>
      <protection/>
    </xf>
    <xf numFmtId="170" fontId="5" fillId="0" borderId="35" xfId="0" applyNumberFormat="1" applyFont="1" applyFill="1" applyBorder="1" applyAlignment="1" applyProtection="1">
      <alignment horizontal="right"/>
      <protection/>
    </xf>
    <xf numFmtId="167" fontId="5" fillId="0" borderId="50" xfId="0" applyNumberFormat="1" applyFont="1" applyFill="1" applyBorder="1" applyAlignment="1" applyProtection="1">
      <alignment horizontal="center"/>
      <protection/>
    </xf>
    <xf numFmtId="167" fontId="6" fillId="0" borderId="35" xfId="0" applyNumberFormat="1" applyFont="1" applyFill="1" applyBorder="1" applyAlignment="1" applyProtection="1">
      <alignment horizontal="center"/>
      <protection/>
    </xf>
    <xf numFmtId="164" fontId="0" fillId="10" borderId="35" xfId="0" applyFont="1" applyFill="1" applyBorder="1" applyAlignment="1">
      <alignment/>
    </xf>
    <xf numFmtId="167" fontId="5" fillId="0" borderId="14" xfId="0" applyNumberFormat="1" applyFont="1" applyFill="1" applyBorder="1" applyAlignment="1" applyProtection="1">
      <alignment horizontal="center"/>
      <protection/>
    </xf>
    <xf numFmtId="166" fontId="1" fillId="4" borderId="0" xfId="0" applyNumberFormat="1" applyFont="1" applyFill="1" applyBorder="1" applyAlignment="1" applyProtection="1">
      <alignment horizontal="right"/>
      <protection/>
    </xf>
    <xf numFmtId="164" fontId="5" fillId="0" borderId="14" xfId="0" applyFont="1" applyFill="1" applyBorder="1" applyAlignment="1">
      <alignment/>
    </xf>
    <xf numFmtId="167" fontId="5" fillId="0" borderId="18" xfId="0" applyNumberFormat="1" applyFont="1" applyBorder="1" applyAlignment="1" applyProtection="1">
      <alignment/>
      <protection/>
    </xf>
    <xf numFmtId="164" fontId="2" fillId="0" borderId="14" xfId="0" applyFont="1" applyFill="1" applyBorder="1" applyAlignment="1">
      <alignment horizontal="center"/>
    </xf>
    <xf numFmtId="170" fontId="5" fillId="3" borderId="0" xfId="0" applyNumberFormat="1" applyFont="1" applyFill="1" applyBorder="1" applyAlignment="1" applyProtection="1">
      <alignment horizontal="left"/>
      <protection/>
    </xf>
    <xf numFmtId="164" fontId="5" fillId="0" borderId="14" xfId="0" applyFont="1" applyFill="1" applyBorder="1" applyAlignment="1">
      <alignment horizontal="center"/>
    </xf>
    <xf numFmtId="168" fontId="5" fillId="0" borderId="2" xfId="0" applyNumberFormat="1" applyFont="1" applyFill="1" applyBorder="1" applyAlignment="1" applyProtection="1">
      <alignment/>
      <protection/>
    </xf>
    <xf numFmtId="171" fontId="5" fillId="0" borderId="17" xfId="0" applyNumberFormat="1" applyFont="1" applyFill="1" applyBorder="1" applyAlignment="1" applyProtection="1">
      <alignment wrapText="1"/>
      <protection/>
    </xf>
    <xf numFmtId="168" fontId="5" fillId="0" borderId="0" xfId="0" applyNumberFormat="1" applyFont="1" applyFill="1" applyBorder="1" applyAlignment="1" applyProtection="1">
      <alignment/>
      <protection/>
    </xf>
    <xf numFmtId="170" fontId="5" fillId="4" borderId="0" xfId="0" applyNumberFormat="1" applyFont="1" applyFill="1" applyBorder="1" applyAlignment="1" applyProtection="1">
      <alignment horizontal="left"/>
      <protection/>
    </xf>
    <xf numFmtId="164" fontId="5" fillId="4" borderId="0" xfId="0" applyFont="1" applyFill="1" applyBorder="1" applyAlignment="1" applyProtection="1">
      <alignment/>
      <protection/>
    </xf>
    <xf numFmtId="169" fontId="5" fillId="0" borderId="14" xfId="0" applyNumberFormat="1" applyFont="1" applyFill="1" applyBorder="1" applyAlignment="1">
      <alignment horizontal="center"/>
    </xf>
    <xf numFmtId="168" fontId="4" fillId="0" borderId="17" xfId="0" applyNumberFormat="1" applyFont="1" applyBorder="1" applyAlignment="1" applyProtection="1">
      <alignment vertical="center"/>
      <protection/>
    </xf>
    <xf numFmtId="167" fontId="5" fillId="0" borderId="0" xfId="0" applyNumberFormat="1" applyFont="1" applyFill="1" applyBorder="1" applyAlignment="1" applyProtection="1">
      <alignment horizontal="left"/>
      <protection/>
    </xf>
    <xf numFmtId="164" fontId="2" fillId="0" borderId="17" xfId="0" applyFont="1" applyFill="1" applyBorder="1" applyAlignment="1">
      <alignment horizontal="center"/>
    </xf>
    <xf numFmtId="164" fontId="5" fillId="0" borderId="0" xfId="0" applyFont="1" applyBorder="1" applyAlignment="1" applyProtection="1">
      <alignment horizontal="left" vertical="top"/>
      <protection/>
    </xf>
    <xf numFmtId="168" fontId="8" fillId="0" borderId="17" xfId="0" applyNumberFormat="1" applyFont="1" applyBorder="1" applyAlignment="1" applyProtection="1">
      <alignment horizontal="justify" vertical="top" wrapText="1"/>
      <protection/>
    </xf>
    <xf numFmtId="164" fontId="5" fillId="0" borderId="17" xfId="0" applyFont="1" applyFill="1" applyBorder="1" applyAlignment="1">
      <alignment horizontal="center"/>
    </xf>
    <xf numFmtId="164" fontId="5" fillId="0" borderId="0" xfId="0" applyFont="1" applyBorder="1" applyAlignment="1" applyProtection="1">
      <alignment horizontal="center"/>
      <protection/>
    </xf>
    <xf numFmtId="168" fontId="8" fillId="0" borderId="17" xfId="0" applyNumberFormat="1" applyFont="1" applyBorder="1" applyAlignment="1" applyProtection="1">
      <alignment horizontal="justify" vertical="center" wrapText="1"/>
      <protection/>
    </xf>
    <xf numFmtId="167" fontId="5" fillId="0" borderId="17" xfId="0" applyNumberFormat="1" applyFont="1" applyFill="1" applyBorder="1" applyAlignment="1" applyProtection="1">
      <alignment horizontal="center"/>
      <protection/>
    </xf>
    <xf numFmtId="164" fontId="5" fillId="0" borderId="0" xfId="0" applyFont="1" applyBorder="1" applyAlignment="1" applyProtection="1">
      <alignment horizontal="center" vertical="top"/>
      <protection/>
    </xf>
    <xf numFmtId="164" fontId="5" fillId="3" borderId="15" xfId="0" applyFont="1" applyFill="1" applyBorder="1" applyAlignment="1" applyProtection="1">
      <alignment horizontal="right"/>
      <protection/>
    </xf>
    <xf numFmtId="166" fontId="1" fillId="4" borderId="0" xfId="0" applyNumberFormat="1" applyFont="1" applyFill="1" applyBorder="1" applyAlignment="1">
      <alignment/>
    </xf>
    <xf numFmtId="166" fontId="1" fillId="5" borderId="0" xfId="0" applyNumberFormat="1" applyFont="1" applyFill="1" applyBorder="1" applyAlignment="1">
      <alignment/>
    </xf>
    <xf numFmtId="166" fontId="9" fillId="7" borderId="0" xfId="0" applyNumberFormat="1" applyFont="1" applyFill="1" applyBorder="1" applyAlignment="1">
      <alignment/>
    </xf>
    <xf numFmtId="166" fontId="1" fillId="8" borderId="0" xfId="0" applyNumberFormat="1" applyFont="1" applyFill="1" applyBorder="1" applyAlignment="1">
      <alignment/>
    </xf>
    <xf numFmtId="168" fontId="8" fillId="0" borderId="17" xfId="0" applyNumberFormat="1" applyFont="1" applyBorder="1" applyAlignment="1" applyProtection="1">
      <alignment vertical="center" wrapText="1"/>
      <protection/>
    </xf>
    <xf numFmtId="168" fontId="5" fillId="0" borderId="2" xfId="0" applyNumberFormat="1" applyFont="1" applyFill="1" applyBorder="1" applyAlignment="1" applyProtection="1">
      <alignment/>
      <protection/>
    </xf>
    <xf numFmtId="164" fontId="21" fillId="0" borderId="34" xfId="0" applyFont="1" applyBorder="1" applyAlignment="1">
      <alignment horizontal="left" vertical="top"/>
    </xf>
    <xf numFmtId="164" fontId="5" fillId="0" borderId="35" xfId="0" applyFont="1" applyBorder="1" applyAlignment="1" applyProtection="1">
      <alignment horizontal="center" vertical="top"/>
      <protection/>
    </xf>
    <xf numFmtId="168" fontId="8" fillId="0" borderId="36" xfId="0" applyNumberFormat="1" applyFont="1" applyBorder="1" applyAlignment="1" applyProtection="1">
      <alignment horizontal="justify" vertical="center" wrapText="1"/>
      <protection/>
    </xf>
    <xf numFmtId="164" fontId="5" fillId="2" borderId="39" xfId="0" applyFont="1" applyFill="1" applyBorder="1" applyAlignment="1" applyProtection="1">
      <alignment/>
      <protection/>
    </xf>
    <xf numFmtId="164" fontId="5" fillId="2" borderId="35" xfId="0" applyFont="1" applyFill="1" applyBorder="1" applyAlignment="1" applyProtection="1">
      <alignment/>
      <protection/>
    </xf>
    <xf numFmtId="164" fontId="5" fillId="0" borderId="50" xfId="0" applyFont="1" applyFill="1" applyBorder="1" applyAlignment="1">
      <alignment horizontal="center"/>
    </xf>
    <xf numFmtId="167" fontId="5" fillId="0" borderId="40" xfId="0" applyNumberFormat="1" applyFont="1" applyFill="1" applyBorder="1" applyAlignment="1" applyProtection="1">
      <alignment horizontal="right"/>
      <protection/>
    </xf>
    <xf numFmtId="164" fontId="5" fillId="0" borderId="0" xfId="0" applyFont="1" applyFill="1" applyBorder="1" applyAlignment="1" applyProtection="1">
      <alignment horizontal="center" vertical="top"/>
      <protection/>
    </xf>
    <xf numFmtId="164" fontId="0" fillId="0" borderId="0" xfId="0" applyFont="1" applyBorder="1" applyAlignment="1">
      <alignment horizontal="justify" vertical="center" wrapText="1"/>
    </xf>
    <xf numFmtId="165" fontId="5" fillId="0" borderId="0" xfId="0" applyNumberFormat="1" applyFont="1" applyFill="1" applyBorder="1" applyAlignment="1" applyProtection="1">
      <alignment horizontal="right"/>
      <protection/>
    </xf>
    <xf numFmtId="164" fontId="2" fillId="0" borderId="0" xfId="0" applyFont="1" applyFill="1" applyBorder="1" applyAlignment="1">
      <alignment/>
    </xf>
    <xf numFmtId="165" fontId="0" fillId="0" borderId="0" xfId="0" applyNumberFormat="1" applyFont="1" applyBorder="1" applyAlignment="1">
      <alignment horizontal="right"/>
    </xf>
    <xf numFmtId="164" fontId="0" fillId="2" borderId="0" xfId="0" applyFont="1" applyFill="1" applyBorder="1" applyAlignment="1">
      <alignment/>
    </xf>
    <xf numFmtId="164" fontId="0" fillId="3" borderId="0" xfId="0" applyFont="1" applyFill="1" applyBorder="1" applyAlignment="1">
      <alignment/>
    </xf>
    <xf numFmtId="168" fontId="8" fillId="0" borderId="0" xfId="0" applyNumberFormat="1" applyFont="1" applyBorder="1" applyAlignment="1" applyProtection="1">
      <alignment vertical="top" wrapText="1"/>
      <protection/>
    </xf>
    <xf numFmtId="165" fontId="2" fillId="0" borderId="0" xfId="0" applyNumberFormat="1" applyFont="1" applyFill="1" applyBorder="1" applyAlignment="1">
      <alignment horizontal="right"/>
    </xf>
    <xf numFmtId="164" fontId="5" fillId="2" borderId="0" xfId="0" applyFont="1" applyFill="1" applyBorder="1" applyAlignment="1" applyProtection="1">
      <alignment vertical="top"/>
      <protection/>
    </xf>
    <xf numFmtId="165" fontId="5" fillId="0" borderId="0" xfId="0" applyNumberFormat="1" applyFont="1" applyFill="1" applyBorder="1" applyAlignment="1" applyProtection="1">
      <alignment horizontal="right" vertical="top"/>
      <protection/>
    </xf>
    <xf numFmtId="164" fontId="5" fillId="0" borderId="0" xfId="0" applyFont="1" applyBorder="1" applyAlignment="1" applyProtection="1">
      <alignment horizontal="center" vertical="center"/>
      <protection/>
    </xf>
    <xf numFmtId="164" fontId="5" fillId="0" borderId="0" xfId="0" applyFont="1" applyBorder="1" applyAlignment="1" applyProtection="1">
      <alignment vertical="top"/>
      <protection/>
    </xf>
    <xf numFmtId="164" fontId="5" fillId="0" borderId="0" xfId="0" applyFont="1" applyBorder="1" applyAlignment="1">
      <alignment vertical="top"/>
    </xf>
    <xf numFmtId="167" fontId="5" fillId="0" borderId="0" xfId="0" applyNumberFormat="1" applyFont="1" applyFill="1" applyBorder="1" applyAlignment="1" applyProtection="1">
      <alignment horizontal="center" vertical="top"/>
      <protection/>
    </xf>
    <xf numFmtId="167" fontId="5" fillId="0" borderId="0" xfId="0" applyNumberFormat="1" applyFont="1" applyFill="1" applyBorder="1" applyAlignment="1" applyProtection="1">
      <alignment horizontal="right" vertical="top"/>
      <protection/>
    </xf>
    <xf numFmtId="167" fontId="5" fillId="4" borderId="0" xfId="0" applyNumberFormat="1" applyFont="1" applyFill="1" applyBorder="1" applyAlignment="1" applyProtection="1">
      <alignment horizontal="right"/>
      <protection/>
    </xf>
    <xf numFmtId="167" fontId="5" fillId="5" borderId="0" xfId="0" applyNumberFormat="1" applyFont="1" applyFill="1" applyBorder="1" applyAlignment="1" applyProtection="1">
      <alignment horizontal="right"/>
      <protection/>
    </xf>
    <xf numFmtId="167" fontId="5" fillId="4" borderId="0" xfId="0" applyNumberFormat="1" applyFont="1" applyFill="1" applyBorder="1" applyAlignment="1" applyProtection="1">
      <alignment horizontal="right" vertical="top"/>
      <protection/>
    </xf>
    <xf numFmtId="167" fontId="5" fillId="5" borderId="0" xfId="0" applyNumberFormat="1" applyFont="1" applyFill="1" applyBorder="1" applyAlignment="1" applyProtection="1">
      <alignment horizontal="right" vertical="top"/>
      <protection/>
    </xf>
    <xf numFmtId="166" fontId="1" fillId="7" borderId="0" xfId="0" applyNumberFormat="1" applyFont="1" applyFill="1" applyBorder="1" applyAlignment="1" applyProtection="1">
      <alignment horizontal="right" vertical="top"/>
      <protection/>
    </xf>
    <xf numFmtId="164" fontId="0" fillId="0" borderId="0" xfId="0" applyFont="1" applyFill="1" applyBorder="1" applyAlignment="1" applyProtection="1">
      <alignment horizontal="center"/>
      <protection/>
    </xf>
    <xf numFmtId="164" fontId="0" fillId="0" borderId="0" xfId="0" applyFont="1" applyFill="1" applyBorder="1" applyAlignment="1" applyProtection="1">
      <alignment/>
      <protection/>
    </xf>
    <xf numFmtId="167" fontId="5" fillId="0" borderId="2" xfId="0" applyNumberFormat="1" applyFont="1" applyFill="1" applyBorder="1" applyAlignment="1" applyProtection="1">
      <alignment horizontal="right" vertical="top"/>
      <protection/>
    </xf>
    <xf numFmtId="164" fontId="24" fillId="0" borderId="0" xfId="0" applyFont="1" applyFill="1" applyBorder="1" applyAlignment="1" applyProtection="1">
      <alignment horizontal="center"/>
      <protection/>
    </xf>
    <xf numFmtId="164" fontId="24" fillId="0" borderId="0" xfId="0" applyFont="1" applyFill="1" applyBorder="1" applyAlignment="1" applyProtection="1">
      <alignment/>
      <protection/>
    </xf>
    <xf numFmtId="167" fontId="25" fillId="9" borderId="22" xfId="0" applyNumberFormat="1" applyFont="1" applyFill="1" applyBorder="1" applyAlignment="1" applyProtection="1">
      <alignment horizontal="center"/>
      <protection/>
    </xf>
    <xf numFmtId="164" fontId="25" fillId="9" borderId="22" xfId="0" applyFont="1" applyFill="1" applyBorder="1" applyAlignment="1" applyProtection="1">
      <alignment horizontal="center"/>
      <protection/>
    </xf>
    <xf numFmtId="164" fontId="25" fillId="9" borderId="7" xfId="0" applyFont="1" applyFill="1" applyBorder="1" applyAlignment="1" applyProtection="1">
      <alignment horizontal="center"/>
      <protection/>
    </xf>
    <xf numFmtId="167" fontId="25" fillId="9" borderId="51" xfId="0" applyNumberFormat="1" applyFont="1" applyFill="1" applyBorder="1" applyAlignment="1" applyProtection="1">
      <alignment horizontal="center"/>
      <protection/>
    </xf>
    <xf numFmtId="164" fontId="25" fillId="9" borderId="51" xfId="0" applyFont="1" applyFill="1" applyBorder="1" applyAlignment="1" applyProtection="1">
      <alignment horizontal="center"/>
      <protection/>
    </xf>
    <xf numFmtId="164" fontId="25" fillId="9" borderId="3" xfId="0" applyFont="1" applyFill="1" applyBorder="1" applyAlignment="1" applyProtection="1">
      <alignment horizontal="center"/>
      <protection/>
    </xf>
    <xf numFmtId="164" fontId="25" fillId="9" borderId="27" xfId="0" applyFont="1" applyFill="1" applyBorder="1" applyAlignment="1" applyProtection="1">
      <alignment horizontal="center"/>
      <protection/>
    </xf>
    <xf numFmtId="167" fontId="25" fillId="9" borderId="3" xfId="0" applyNumberFormat="1" applyFont="1" applyFill="1" applyBorder="1" applyAlignment="1" applyProtection="1">
      <alignment wrapText="1"/>
      <protection/>
    </xf>
    <xf numFmtId="175" fontId="25" fillId="9" borderId="3" xfId="0" applyNumberFormat="1" applyFont="1" applyFill="1" applyBorder="1" applyAlignment="1" applyProtection="1">
      <alignment horizontal="center"/>
      <protection/>
    </xf>
    <xf numFmtId="167" fontId="25" fillId="9" borderId="3" xfId="0" applyNumberFormat="1" applyFont="1" applyFill="1" applyBorder="1" applyAlignment="1" applyProtection="1">
      <alignment horizontal="center"/>
      <protection/>
    </xf>
    <xf numFmtId="167" fontId="25" fillId="9" borderId="5" xfId="0" applyNumberFormat="1" applyFont="1" applyFill="1" applyBorder="1" applyAlignment="1" applyProtection="1">
      <alignment horizontal="center"/>
      <protection/>
    </xf>
    <xf numFmtId="167" fontId="25" fillId="9" borderId="22" xfId="0" applyNumberFormat="1" applyFont="1" applyFill="1" applyBorder="1" applyAlignment="1" applyProtection="1">
      <alignment/>
      <protection/>
    </xf>
    <xf numFmtId="167" fontId="25" fillId="9" borderId="7" xfId="0" applyNumberFormat="1" applyFont="1" applyFill="1" applyBorder="1" applyAlignment="1" applyProtection="1">
      <alignment horizontal="center"/>
      <protection/>
    </xf>
    <xf numFmtId="167" fontId="25" fillId="9" borderId="51" xfId="0" applyNumberFormat="1" applyFont="1" applyFill="1" applyBorder="1" applyAlignment="1" applyProtection="1">
      <alignment/>
      <protection/>
    </xf>
    <xf numFmtId="164" fontId="25" fillId="9" borderId="51" xfId="0" applyFont="1" applyFill="1" applyBorder="1" applyAlignment="1" applyProtection="1">
      <alignment/>
      <protection/>
    </xf>
    <xf numFmtId="167" fontId="25" fillId="9" borderId="27" xfId="0" applyNumberFormat="1" applyFont="1" applyFill="1" applyBorder="1" applyAlignment="1" applyProtection="1">
      <alignment horizontal="center"/>
      <protection/>
    </xf>
    <xf numFmtId="164" fontId="25" fillId="9" borderId="22" xfId="0" applyFont="1" applyFill="1" applyBorder="1" applyAlignment="1" applyProtection="1">
      <alignment/>
      <protection/>
    </xf>
    <xf numFmtId="167" fontId="25" fillId="9" borderId="17" xfId="0" applyNumberFormat="1" applyFont="1" applyFill="1" applyBorder="1" applyAlignment="1" applyProtection="1">
      <alignment/>
      <protection/>
    </xf>
    <xf numFmtId="164" fontId="25" fillId="9" borderId="17" xfId="0" applyFont="1" applyFill="1" applyBorder="1" applyAlignment="1" applyProtection="1">
      <alignment horizontal="center"/>
      <protection/>
    </xf>
    <xf numFmtId="167" fontId="25" fillId="9" borderId="17" xfId="0" applyNumberFormat="1" applyFont="1" applyFill="1" applyBorder="1" applyAlignment="1" applyProtection="1">
      <alignment horizontal="center"/>
      <protection/>
    </xf>
    <xf numFmtId="167" fontId="25" fillId="9" borderId="15" xfId="0" applyNumberFormat="1" applyFont="1" applyFill="1" applyBorder="1" applyAlignment="1" applyProtection="1">
      <alignment horizontal="center"/>
      <protection/>
    </xf>
    <xf numFmtId="164" fontId="0" fillId="9" borderId="51" xfId="0" applyFont="1" applyFill="1" applyBorder="1" applyAlignment="1">
      <alignment/>
    </xf>
    <xf numFmtId="164" fontId="25" fillId="9" borderId="17" xfId="0" applyFont="1" applyFill="1" applyBorder="1" applyAlignment="1" applyProtection="1">
      <alignment/>
      <protection/>
    </xf>
    <xf numFmtId="164" fontId="25" fillId="9" borderId="51" xfId="0" applyFont="1" applyFill="1" applyBorder="1" applyAlignment="1">
      <alignment/>
    </xf>
    <xf numFmtId="164" fontId="25" fillId="9" borderId="27" xfId="0" applyFont="1" applyFill="1" applyBorder="1" applyAlignment="1">
      <alignment/>
    </xf>
    <xf numFmtId="167" fontId="25" fillId="9" borderId="3" xfId="0" applyNumberFormat="1" applyFont="1" applyFill="1" applyBorder="1" applyAlignment="1" applyProtection="1">
      <alignment/>
      <protection/>
    </xf>
    <xf numFmtId="164" fontId="25" fillId="9" borderId="3" xfId="0" applyFont="1" applyFill="1" applyBorder="1" applyAlignment="1">
      <alignment horizontal="center"/>
    </xf>
    <xf numFmtId="164" fontId="25" fillId="9" borderId="17" xfId="0" applyFont="1" applyFill="1" applyBorder="1" applyAlignment="1">
      <alignment/>
    </xf>
    <xf numFmtId="164" fontId="25" fillId="9" borderId="15" xfId="0" applyFont="1" applyFill="1" applyBorder="1" applyAlignment="1">
      <alignment/>
    </xf>
    <xf numFmtId="164" fontId="25" fillId="9" borderId="22" xfId="0" applyNumberFormat="1" applyFont="1" applyFill="1" applyBorder="1" applyAlignment="1" applyProtection="1">
      <alignment horizontal="center"/>
      <protection/>
    </xf>
    <xf numFmtId="164" fontId="25" fillId="9" borderId="22" xfId="0" applyFont="1" applyFill="1" applyBorder="1" applyAlignment="1" applyProtection="1">
      <alignment horizontal="center" vertical="center"/>
      <protection/>
    </xf>
    <xf numFmtId="164" fontId="25" fillId="9" borderId="51" xfId="0" applyFont="1" applyFill="1" applyBorder="1" applyAlignment="1">
      <alignment horizontal="center"/>
    </xf>
    <xf numFmtId="165" fontId="4" fillId="0" borderId="0" xfId="0" applyNumberFormat="1" applyFont="1" applyFill="1" applyBorder="1" applyAlignment="1" applyProtection="1">
      <alignment horizontal="right" vertical="top"/>
      <protection/>
    </xf>
    <xf numFmtId="167" fontId="4" fillId="3" borderId="0" xfId="0" applyNumberFormat="1" applyFont="1" applyFill="1" applyBorder="1" applyAlignment="1" applyProtection="1">
      <alignment horizontal="right" vertical="top"/>
      <protection/>
    </xf>
    <xf numFmtId="167" fontId="25" fillId="0" borderId="0" xfId="0" applyNumberFormat="1" applyFont="1" applyFill="1" applyBorder="1" applyAlignment="1" applyProtection="1">
      <alignment vertical="center"/>
      <protection/>
    </xf>
    <xf numFmtId="164" fontId="25" fillId="0" borderId="0" xfId="0" applyFont="1" applyFill="1" applyBorder="1" applyAlignment="1">
      <alignment horizontal="center"/>
    </xf>
    <xf numFmtId="164" fontId="25" fillId="0" borderId="0" xfId="0" applyFont="1" applyFill="1" applyBorder="1" applyAlignment="1" applyProtection="1">
      <alignment vertical="center"/>
      <protection/>
    </xf>
    <xf numFmtId="167" fontId="25" fillId="0" borderId="0" xfId="0" applyNumberFormat="1" applyFont="1" applyFill="1" applyBorder="1" applyAlignment="1" applyProtection="1">
      <alignment horizontal="center" vertical="center"/>
      <protection/>
    </xf>
    <xf numFmtId="164" fontId="5" fillId="0" borderId="0" xfId="0" applyFont="1" applyBorder="1" applyAlignment="1">
      <alignment/>
    </xf>
    <xf numFmtId="164" fontId="2" fillId="4" borderId="0" xfId="0" applyFont="1" applyFill="1" applyBorder="1" applyAlignment="1">
      <alignment/>
    </xf>
    <xf numFmtId="164" fontId="2" fillId="5" borderId="0" xfId="0" applyFont="1" applyFill="1" applyBorder="1" applyAlignment="1">
      <alignment/>
    </xf>
    <xf numFmtId="167" fontId="2" fillId="0" borderId="2" xfId="0" applyNumberFormat="1" applyFont="1" applyFill="1" applyBorder="1" applyAlignment="1">
      <alignment/>
    </xf>
    <xf numFmtId="164" fontId="26" fillId="0" borderId="0" xfId="0" applyFont="1" applyFill="1" applyBorder="1" applyAlignment="1">
      <alignment horizontal="center"/>
    </xf>
    <xf numFmtId="167" fontId="26" fillId="0" borderId="0" xfId="0" applyNumberFormat="1" applyFont="1" applyFill="1" applyBorder="1" applyAlignment="1">
      <alignment/>
    </xf>
    <xf numFmtId="167" fontId="25" fillId="13" borderId="22" xfId="0" applyNumberFormat="1" applyFont="1" applyFill="1" applyBorder="1" applyAlignment="1" applyProtection="1">
      <alignment horizontal="center"/>
      <protection/>
    </xf>
    <xf numFmtId="164" fontId="25" fillId="13" borderId="22" xfId="0" applyFont="1" applyFill="1" applyBorder="1" applyAlignment="1" applyProtection="1">
      <alignment horizontal="center"/>
      <protection/>
    </xf>
    <xf numFmtId="164" fontId="25" fillId="13" borderId="7" xfId="0" applyFont="1" applyFill="1" applyBorder="1" applyAlignment="1" applyProtection="1">
      <alignment horizontal="center"/>
      <protection/>
    </xf>
    <xf numFmtId="164" fontId="2" fillId="13" borderId="0" xfId="0" applyFont="1" applyFill="1" applyBorder="1" applyAlignment="1">
      <alignment/>
    </xf>
    <xf numFmtId="167" fontId="25" fillId="13" borderId="51" xfId="0" applyNumberFormat="1" applyFont="1" applyFill="1" applyBorder="1" applyAlignment="1" applyProtection="1">
      <alignment horizontal="center"/>
      <protection/>
    </xf>
    <xf numFmtId="164" fontId="25" fillId="13" borderId="51" xfId="0" applyFont="1" applyFill="1" applyBorder="1" applyAlignment="1" applyProtection="1">
      <alignment horizontal="center"/>
      <protection/>
    </xf>
    <xf numFmtId="164" fontId="25" fillId="13" borderId="3" xfId="0" applyFont="1" applyFill="1" applyBorder="1" applyAlignment="1" applyProtection="1">
      <alignment horizontal="center"/>
      <protection/>
    </xf>
    <xf numFmtId="167" fontId="25" fillId="13" borderId="3" xfId="0" applyNumberFormat="1" applyFont="1" applyFill="1" applyBorder="1" applyAlignment="1" applyProtection="1">
      <alignment wrapText="1"/>
      <protection/>
    </xf>
    <xf numFmtId="167" fontId="25" fillId="13" borderId="3" xfId="0" applyNumberFormat="1" applyFont="1" applyFill="1" applyBorder="1" applyAlignment="1" applyProtection="1">
      <alignment horizontal="center"/>
      <protection/>
    </xf>
    <xf numFmtId="164" fontId="0" fillId="13" borderId="0" xfId="0" applyFont="1" applyFill="1" applyBorder="1" applyAlignment="1">
      <alignment horizontal="center"/>
    </xf>
    <xf numFmtId="175" fontId="25" fillId="13" borderId="3" xfId="0" applyNumberFormat="1" applyFont="1" applyFill="1" applyBorder="1" applyAlignment="1" applyProtection="1">
      <alignment horizontal="center"/>
      <protection/>
    </xf>
    <xf numFmtId="164" fontId="6" fillId="13" borderId="0" xfId="0" applyFont="1" applyFill="1" applyBorder="1" applyAlignment="1">
      <alignment horizontal="center"/>
    </xf>
    <xf numFmtId="167" fontId="25" fillId="13" borderId="22" xfId="0" applyNumberFormat="1" applyFont="1" applyFill="1" applyBorder="1" applyAlignment="1" applyProtection="1">
      <alignment/>
      <protection/>
    </xf>
    <xf numFmtId="167" fontId="25" fillId="13" borderId="17" xfId="0" applyNumberFormat="1" applyFont="1" applyFill="1" applyBorder="1" applyAlignment="1" applyProtection="1">
      <alignment/>
      <protection/>
    </xf>
    <xf numFmtId="164" fontId="25" fillId="13" borderId="17" xfId="0" applyFont="1" applyFill="1" applyBorder="1" applyAlignment="1" applyProtection="1">
      <alignment horizontal="center"/>
      <protection/>
    </xf>
    <xf numFmtId="167" fontId="25" fillId="13" borderId="17" xfId="0" applyNumberFormat="1" applyFont="1" applyFill="1" applyBorder="1" applyAlignment="1" applyProtection="1">
      <alignment horizontal="center"/>
      <protection/>
    </xf>
    <xf numFmtId="167" fontId="25" fillId="13" borderId="51" xfId="0" applyNumberFormat="1" applyFont="1" applyFill="1" applyBorder="1" applyAlignment="1" applyProtection="1">
      <alignment/>
      <protection/>
    </xf>
    <xf numFmtId="164" fontId="0" fillId="13" borderId="51" xfId="0" applyFont="1" applyFill="1" applyBorder="1" applyAlignment="1">
      <alignment/>
    </xf>
    <xf numFmtId="167" fontId="25" fillId="13" borderId="3" xfId="0" applyNumberFormat="1" applyFont="1" applyFill="1" applyBorder="1" applyAlignment="1" applyProtection="1">
      <alignment vertical="center"/>
      <protection/>
    </xf>
    <xf numFmtId="164" fontId="25" fillId="13" borderId="3" xfId="0" applyFont="1" applyFill="1" applyBorder="1" applyAlignment="1" applyProtection="1">
      <alignment horizontal="center" vertical="center"/>
      <protection/>
    </xf>
    <xf numFmtId="167" fontId="25" fillId="13" borderId="3" xfId="0" applyNumberFormat="1" applyFont="1" applyFill="1" applyBorder="1" applyAlignment="1" applyProtection="1">
      <alignment horizontal="center" vertical="center"/>
      <protection/>
    </xf>
    <xf numFmtId="167" fontId="25" fillId="13" borderId="3"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N560"/>
  <sheetViews>
    <sheetView tabSelected="1" workbookViewId="0" topLeftCell="I435">
      <selection activeCell="R439" sqref="R439"/>
    </sheetView>
  </sheetViews>
  <sheetFormatPr defaultColWidth="9.140625" defaultRowHeight="12.75"/>
  <cols>
    <col min="1" max="1" width="3.7109375" style="1" customWidth="1"/>
    <col min="2" max="2" width="15.28125" style="1" customWidth="1"/>
    <col min="3" max="3" width="60.140625" style="1" customWidth="1"/>
    <col min="4" max="4" width="5.28125" style="2" customWidth="1"/>
    <col min="5" max="5" width="4.7109375" style="3" customWidth="1"/>
    <col min="6" max="6" width="2.7109375" style="1" customWidth="1"/>
    <col min="7" max="8" width="0" style="4" hidden="1" customWidth="1"/>
    <col min="9" max="9" width="7.57421875" style="2" customWidth="1"/>
    <col min="10" max="10" width="5.421875" style="2" customWidth="1"/>
    <col min="11" max="12" width="0" style="5" hidden="1" customWidth="1"/>
    <col min="13" max="13" width="5.421875" style="6" customWidth="1"/>
    <col min="14" max="14" width="2.57421875" style="7" customWidth="1"/>
    <col min="15" max="15" width="4.8515625" style="6" customWidth="1"/>
    <col min="16" max="16" width="5.8515625" style="6" customWidth="1"/>
    <col min="17" max="18" width="5.421875" style="6" customWidth="1"/>
    <col min="19" max="19" width="2.00390625" style="8" customWidth="1"/>
    <col min="20" max="20" width="4.00390625" style="9" customWidth="1"/>
    <col min="21" max="21" width="4.00390625" style="10" customWidth="1"/>
    <col min="22" max="22" width="5.421875" style="11" customWidth="1"/>
    <col min="23" max="24" width="4.8515625" style="12" customWidth="1"/>
    <col min="25" max="25" width="4.8515625" style="13" customWidth="1"/>
    <col min="26" max="26" width="4.00390625" style="13" customWidth="1"/>
    <col min="27" max="27" width="3.8515625" style="13" customWidth="1"/>
    <col min="28" max="28" width="3.57421875" style="14" customWidth="1"/>
    <col min="29" max="29" width="4.140625" style="14" customWidth="1"/>
    <col min="30" max="30" width="25.421875" style="7" customWidth="1"/>
    <col min="31" max="31" width="17.8515625" style="7" customWidth="1"/>
    <col min="32" max="32" width="10.421875" style="7" customWidth="1"/>
    <col min="33" max="33" width="12.7109375" style="7" customWidth="1"/>
    <col min="34" max="34" width="9.421875" style="7" customWidth="1"/>
    <col min="35" max="38" width="11.421875" style="7" customWidth="1"/>
    <col min="39" max="39" width="12.140625" style="7" customWidth="1"/>
    <col min="40" max="40" width="10.57421875" style="7" customWidth="1"/>
    <col min="41" max="41" width="21.57421875" style="7" customWidth="1"/>
    <col min="42" max="42" width="30.7109375" style="7" customWidth="1"/>
    <col min="43" max="43" width="10.57421875" style="7" customWidth="1"/>
    <col min="44" max="44" width="16.57421875" style="7" customWidth="1"/>
    <col min="45" max="45" width="23.57421875" style="7" customWidth="1"/>
    <col min="46" max="46" width="9.28125" style="7" customWidth="1"/>
    <col min="47" max="47" width="11.8515625" style="7" customWidth="1"/>
    <col min="48" max="48" width="5.8515625" style="7" customWidth="1"/>
    <col min="49" max="49" width="11.421875" style="7" customWidth="1"/>
    <col min="50" max="50" width="8.421875" style="7" customWidth="1"/>
    <col min="51" max="51" width="6.28125" style="7" customWidth="1"/>
    <col min="52" max="52" width="4.421875" style="7" customWidth="1"/>
    <col min="53" max="53" width="11.421875" style="7" customWidth="1"/>
    <col min="54" max="54" width="16.7109375" style="7" customWidth="1"/>
    <col min="55" max="55" width="14.140625" style="7" customWidth="1"/>
    <col min="56" max="56" width="6.28125" style="7" customWidth="1"/>
    <col min="57" max="57" width="10.140625" style="7" customWidth="1"/>
    <col min="58" max="60" width="11.421875" style="7" customWidth="1"/>
    <col min="61" max="92" width="11.28125" style="7" customWidth="1"/>
    <col min="93" max="256" width="11.00390625" style="1" customWidth="1"/>
  </cols>
  <sheetData>
    <row r="1" spans="5:92" s="1" customFormat="1" ht="12.75">
      <c r="E1" s="15"/>
      <c r="G1" s="4"/>
      <c r="H1" s="4"/>
      <c r="K1" s="5"/>
      <c r="L1" s="5"/>
      <c r="M1" s="7"/>
      <c r="N1" s="7"/>
      <c r="O1" s="7"/>
      <c r="P1" s="7"/>
      <c r="Q1" s="7"/>
      <c r="R1" s="7"/>
      <c r="S1" s="7"/>
      <c r="T1" s="9"/>
      <c r="U1" s="10"/>
      <c r="V1" s="16"/>
      <c r="W1" s="17"/>
      <c r="X1" s="17"/>
      <c r="Y1" s="18"/>
      <c r="Z1" s="18"/>
      <c r="AA1" s="18"/>
      <c r="AB1" s="19"/>
      <c r="AC1" s="20"/>
      <c r="AD1" s="21"/>
      <c r="AE1" s="22"/>
      <c r="AF1" s="22"/>
      <c r="AG1" s="22"/>
      <c r="AH1" s="22"/>
      <c r="AI1" s="22"/>
      <c r="AJ1" s="23"/>
      <c r="AK1" s="22"/>
      <c r="AL1" s="24" t="s">
        <v>0</v>
      </c>
      <c r="AM1" s="24"/>
      <c r="AN1" s="23"/>
      <c r="AO1" s="24" t="s">
        <v>1</v>
      </c>
      <c r="AP1" s="24"/>
      <c r="AQ1" s="22"/>
      <c r="AR1" s="25" t="s">
        <v>2</v>
      </c>
      <c r="AS1" s="25"/>
      <c r="AT1" s="26"/>
      <c r="AU1" s="26"/>
      <c r="AV1" s="22"/>
      <c r="AW1" s="27"/>
      <c r="AX1" s="28"/>
      <c r="AY1" s="29"/>
      <c r="AZ1" s="30"/>
      <c r="BA1" s="31" t="s">
        <v>3</v>
      </c>
      <c r="BB1" s="31"/>
      <c r="BC1" s="22"/>
      <c r="BD1" s="22"/>
      <c r="BE1" s="32"/>
      <c r="BF1" s="33"/>
      <c r="BG1" s="34"/>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row>
    <row r="2" spans="5:92" s="1" customFormat="1" ht="12.75">
      <c r="E2" s="15"/>
      <c r="G2" s="4"/>
      <c r="H2" s="4"/>
      <c r="K2" s="5"/>
      <c r="L2" s="5"/>
      <c r="M2" s="7"/>
      <c r="N2" s="7"/>
      <c r="O2" s="7"/>
      <c r="P2" s="7"/>
      <c r="Q2" s="7"/>
      <c r="R2" s="7"/>
      <c r="S2" s="7"/>
      <c r="T2" s="9"/>
      <c r="U2" s="10"/>
      <c r="V2" s="16"/>
      <c r="W2" s="17"/>
      <c r="X2" s="17"/>
      <c r="Y2" s="35" t="s">
        <v>4</v>
      </c>
      <c r="Z2" s="35" t="s">
        <v>5</v>
      </c>
      <c r="AA2" s="35"/>
      <c r="AB2" s="19"/>
      <c r="AC2" s="20"/>
      <c r="AD2" s="21"/>
      <c r="AE2" s="22"/>
      <c r="AF2" s="22"/>
      <c r="AG2" s="22"/>
      <c r="AH2" s="22"/>
      <c r="AI2" s="22"/>
      <c r="AJ2" s="23"/>
      <c r="AK2" s="22"/>
      <c r="AL2" s="29" t="s">
        <v>6</v>
      </c>
      <c r="AM2" s="36">
        <v>0.047</v>
      </c>
      <c r="AN2" s="23"/>
      <c r="AO2" s="29" t="s">
        <v>7</v>
      </c>
      <c r="AP2" s="37">
        <v>26.26</v>
      </c>
      <c r="AQ2" s="22"/>
      <c r="AR2" s="38" t="s">
        <v>8</v>
      </c>
      <c r="AS2" s="37">
        <v>58.92</v>
      </c>
      <c r="AT2" s="38"/>
      <c r="AU2" s="39"/>
      <c r="AV2" s="22"/>
      <c r="AW2" s="27"/>
      <c r="AX2" s="37"/>
      <c r="AY2" s="29"/>
      <c r="AZ2" s="40"/>
      <c r="BA2" s="41" t="s">
        <v>9</v>
      </c>
      <c r="BB2" s="42"/>
      <c r="BC2" s="22"/>
      <c r="BD2" s="22"/>
      <c r="BE2" s="43"/>
      <c r="BF2" s="44"/>
      <c r="BG2" s="34"/>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2" s="1" customFormat="1" ht="12.75">
      <c r="A3" s="45" t="s">
        <v>10</v>
      </c>
      <c r="B3" s="46" t="s">
        <v>11</v>
      </c>
      <c r="C3" s="47"/>
      <c r="D3" s="48"/>
      <c r="E3" s="49" t="s">
        <v>12</v>
      </c>
      <c r="F3" s="49"/>
      <c r="G3" s="50" t="s">
        <v>13</v>
      </c>
      <c r="H3" s="51"/>
      <c r="I3" s="52" t="s">
        <v>14</v>
      </c>
      <c r="J3" s="53" t="s">
        <v>15</v>
      </c>
      <c r="K3" s="54" t="s">
        <v>16</v>
      </c>
      <c r="L3" s="55"/>
      <c r="M3" s="56" t="s">
        <v>17</v>
      </c>
      <c r="N3" s="56"/>
      <c r="O3" s="56"/>
      <c r="P3" s="56"/>
      <c r="Q3" s="56"/>
      <c r="R3" s="56"/>
      <c r="S3" s="57"/>
      <c r="T3" s="58"/>
      <c r="U3" s="59"/>
      <c r="V3" s="60"/>
      <c r="W3" s="61"/>
      <c r="X3" s="61"/>
      <c r="Y3" s="62"/>
      <c r="Z3" s="62"/>
      <c r="AA3" s="62"/>
      <c r="AB3" s="19"/>
      <c r="AC3" s="63"/>
      <c r="AD3" s="21"/>
      <c r="AE3" s="22"/>
      <c r="AF3" s="22"/>
      <c r="AG3" s="22"/>
      <c r="AH3" s="22"/>
      <c r="AI3" s="22"/>
      <c r="AJ3" s="23"/>
      <c r="AK3" s="22"/>
      <c r="AL3" s="29" t="s">
        <v>18</v>
      </c>
      <c r="AM3" s="36">
        <v>0.047</v>
      </c>
      <c r="AN3" s="23"/>
      <c r="AO3" s="29" t="s">
        <v>19</v>
      </c>
      <c r="AP3" s="37">
        <v>26.26</v>
      </c>
      <c r="AQ3" s="22"/>
      <c r="AR3" s="38" t="s">
        <v>20</v>
      </c>
      <c r="AS3" s="37">
        <v>32.36</v>
      </c>
      <c r="AT3" s="39"/>
      <c r="AU3" s="39"/>
      <c r="AV3" s="22"/>
      <c r="AW3" s="27" t="s">
        <v>21</v>
      </c>
      <c r="AX3" s="64">
        <v>3.811</v>
      </c>
      <c r="AY3" s="29" t="s">
        <v>22</v>
      </c>
      <c r="AZ3" s="65" t="s">
        <v>23</v>
      </c>
      <c r="BA3" s="66" t="s">
        <v>24</v>
      </c>
      <c r="BB3" s="67">
        <v>0.45</v>
      </c>
      <c r="BC3" s="22"/>
      <c r="BD3" s="22"/>
      <c r="BE3" s="68"/>
      <c r="BF3" s="69"/>
      <c r="BG3" s="34"/>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s="1" customFormat="1" ht="12.75">
      <c r="A4" s="70" t="s">
        <v>25</v>
      </c>
      <c r="B4" s="71"/>
      <c r="C4" s="72" t="s">
        <v>26</v>
      </c>
      <c r="D4" s="73" t="s">
        <v>27</v>
      </c>
      <c r="E4" s="74" t="s">
        <v>28</v>
      </c>
      <c r="F4" s="75"/>
      <c r="G4" s="76" t="s">
        <v>29</v>
      </c>
      <c r="H4" s="76"/>
      <c r="I4" s="77" t="s">
        <v>30</v>
      </c>
      <c r="J4" s="78" t="s">
        <v>31</v>
      </c>
      <c r="K4" s="79" t="s">
        <v>32</v>
      </c>
      <c r="L4" s="80"/>
      <c r="M4" s="81" t="s">
        <v>33</v>
      </c>
      <c r="N4" s="81"/>
      <c r="O4" s="82"/>
      <c r="P4" s="78" t="s">
        <v>34</v>
      </c>
      <c r="Q4" s="83" t="s">
        <v>35</v>
      </c>
      <c r="R4" s="83"/>
      <c r="S4" s="84"/>
      <c r="T4" s="85" t="s">
        <v>36</v>
      </c>
      <c r="U4" s="86"/>
      <c r="V4" s="87" t="s">
        <v>37</v>
      </c>
      <c r="W4" s="88" t="s">
        <v>38</v>
      </c>
      <c r="X4" s="88"/>
      <c r="Y4" s="62"/>
      <c r="Z4" s="62"/>
      <c r="AA4" s="62"/>
      <c r="AB4" s="19"/>
      <c r="AC4" s="63"/>
      <c r="AD4" s="21"/>
      <c r="AE4" s="22"/>
      <c r="AF4" s="22"/>
      <c r="AG4" s="22"/>
      <c r="AH4" s="22"/>
      <c r="AI4" s="89"/>
      <c r="AJ4" s="22"/>
      <c r="AK4" s="22"/>
      <c r="AL4" s="29" t="s">
        <v>39</v>
      </c>
      <c r="AM4" s="36">
        <v>0.035</v>
      </c>
      <c r="AN4" s="23"/>
      <c r="AO4" s="29" t="s">
        <v>40</v>
      </c>
      <c r="AP4" s="37">
        <v>26.26</v>
      </c>
      <c r="AQ4" s="22"/>
      <c r="AR4" s="90" t="s">
        <v>41</v>
      </c>
      <c r="AS4" s="91">
        <v>63.96</v>
      </c>
      <c r="AT4" s="39"/>
      <c r="AU4" s="39"/>
      <c r="AV4" s="22"/>
      <c r="AW4" s="22"/>
      <c r="AX4" s="22"/>
      <c r="AY4" s="22"/>
      <c r="AZ4" s="40"/>
      <c r="BA4" s="66" t="s">
        <v>42</v>
      </c>
      <c r="BB4" s="92"/>
      <c r="BC4" s="22"/>
      <c r="BD4" s="22"/>
      <c r="BE4" s="68"/>
      <c r="BF4" s="69"/>
      <c r="BG4" s="34"/>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row>
    <row r="5" spans="1:92" s="1" customFormat="1" ht="12.75">
      <c r="A5" s="70" t="s">
        <v>43</v>
      </c>
      <c r="B5" s="71" t="s">
        <v>44</v>
      </c>
      <c r="C5" s="93"/>
      <c r="D5" s="73"/>
      <c r="E5" s="74" t="s">
        <v>45</v>
      </c>
      <c r="F5" s="75"/>
      <c r="G5" s="94" t="s">
        <v>46</v>
      </c>
      <c r="H5" s="95" t="s">
        <v>47</v>
      </c>
      <c r="I5" s="78" t="s">
        <v>48</v>
      </c>
      <c r="J5" s="78" t="s">
        <v>49</v>
      </c>
      <c r="K5" s="79" t="s">
        <v>50</v>
      </c>
      <c r="L5" s="79"/>
      <c r="M5" s="96" t="s">
        <v>51</v>
      </c>
      <c r="N5" s="96"/>
      <c r="O5" s="97" t="s">
        <v>52</v>
      </c>
      <c r="P5" s="78" t="s">
        <v>53</v>
      </c>
      <c r="Q5" s="98" t="s">
        <v>54</v>
      </c>
      <c r="R5" s="99" t="s">
        <v>55</v>
      </c>
      <c r="S5" s="100"/>
      <c r="T5" s="101" t="s">
        <v>56</v>
      </c>
      <c r="U5" s="102"/>
      <c r="V5" s="103" t="s">
        <v>57</v>
      </c>
      <c r="W5" s="104" t="s">
        <v>58</v>
      </c>
      <c r="X5" s="104"/>
      <c r="Y5" s="62"/>
      <c r="Z5" s="62"/>
      <c r="AA5" s="62"/>
      <c r="AB5" s="19"/>
      <c r="AC5" s="63"/>
      <c r="AD5" s="21"/>
      <c r="AE5" s="22"/>
      <c r="AF5" s="22"/>
      <c r="AG5" s="22"/>
      <c r="AH5" s="22"/>
      <c r="AI5" s="89"/>
      <c r="AJ5" s="22"/>
      <c r="AK5" s="22"/>
      <c r="AL5" s="29" t="s">
        <v>59</v>
      </c>
      <c r="AM5" s="36">
        <v>0.03</v>
      </c>
      <c r="AN5" s="23"/>
      <c r="AO5" s="29" t="s">
        <v>60</v>
      </c>
      <c r="AP5" s="37">
        <v>31.29</v>
      </c>
      <c r="AQ5" s="22"/>
      <c r="AR5" s="105"/>
      <c r="AS5" s="106"/>
      <c r="AT5" s="39"/>
      <c r="AU5" s="39"/>
      <c r="AV5" s="22"/>
      <c r="AW5" s="22"/>
      <c r="AX5" s="22"/>
      <c r="AY5" s="22"/>
      <c r="AZ5" s="40"/>
      <c r="BA5" s="66"/>
      <c r="BB5" s="92"/>
      <c r="BC5" s="22"/>
      <c r="BD5" s="22"/>
      <c r="BE5" s="68"/>
      <c r="BF5" s="69"/>
      <c r="BG5" s="34"/>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s="1" customFormat="1" ht="12.75">
      <c r="A6" s="70" t="s">
        <v>61</v>
      </c>
      <c r="B6" s="71"/>
      <c r="C6" s="107"/>
      <c r="D6" s="73"/>
      <c r="E6" s="108" t="s">
        <v>62</v>
      </c>
      <c r="F6" s="109"/>
      <c r="G6" s="110" t="s">
        <v>63</v>
      </c>
      <c r="H6" s="111" t="s">
        <v>64</v>
      </c>
      <c r="I6" s="112" t="s">
        <v>65</v>
      </c>
      <c r="J6" s="78" t="s">
        <v>66</v>
      </c>
      <c r="K6" s="79" t="str">
        <f>"(2)"</f>
        <v>(2)</v>
      </c>
      <c r="L6" s="79"/>
      <c r="M6" s="96" t="s">
        <v>67</v>
      </c>
      <c r="N6" s="96"/>
      <c r="O6" s="97"/>
      <c r="P6" s="78" t="s">
        <v>68</v>
      </c>
      <c r="Q6" s="113" t="s">
        <v>69</v>
      </c>
      <c r="R6" s="114"/>
      <c r="S6" s="100"/>
      <c r="T6" s="101"/>
      <c r="U6" s="102"/>
      <c r="V6" s="103"/>
      <c r="W6" s="104"/>
      <c r="X6" s="104"/>
      <c r="Y6" s="115"/>
      <c r="Z6" s="115"/>
      <c r="AA6" s="115"/>
      <c r="AB6" s="19"/>
      <c r="AC6" s="63"/>
      <c r="AD6" s="21"/>
      <c r="AE6" s="21"/>
      <c r="AF6" s="21"/>
      <c r="AG6" s="21"/>
      <c r="AH6" s="21"/>
      <c r="AI6" s="21"/>
      <c r="AJ6" s="21"/>
      <c r="AK6" s="21"/>
      <c r="AL6" s="29" t="s">
        <v>70</v>
      </c>
      <c r="AM6" s="36">
        <v>0.037</v>
      </c>
      <c r="AN6" s="116"/>
      <c r="AO6" s="29" t="s">
        <v>71</v>
      </c>
      <c r="AP6" s="37">
        <v>26.26</v>
      </c>
      <c r="AQ6" s="21"/>
      <c r="AR6" s="117"/>
      <c r="AS6" s="118"/>
      <c r="AT6" s="119"/>
      <c r="AU6" s="119"/>
      <c r="AV6" s="21"/>
      <c r="AW6" s="21"/>
      <c r="AX6" s="21"/>
      <c r="AY6" s="21"/>
      <c r="AZ6" s="120"/>
      <c r="BA6" s="121" t="s">
        <v>72</v>
      </c>
      <c r="BB6" s="92"/>
      <c r="BC6" s="22"/>
      <c r="BD6" s="21"/>
      <c r="BE6" s="122"/>
      <c r="BF6" s="123"/>
      <c r="BG6" s="34"/>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row>
    <row r="7" spans="1:92" s="1" customFormat="1" ht="12.75">
      <c r="A7" s="124" t="s">
        <v>73</v>
      </c>
      <c r="B7" s="71"/>
      <c r="C7" s="107"/>
      <c r="D7" s="73"/>
      <c r="E7" s="125"/>
      <c r="F7" s="126"/>
      <c r="G7" s="127"/>
      <c r="H7" s="128"/>
      <c r="I7" s="78" t="s">
        <v>74</v>
      </c>
      <c r="J7" s="78"/>
      <c r="K7" s="79"/>
      <c r="L7" s="79"/>
      <c r="M7" s="129"/>
      <c r="N7" s="130"/>
      <c r="O7" s="97"/>
      <c r="P7" s="131"/>
      <c r="Q7" s="113"/>
      <c r="R7" s="114"/>
      <c r="S7" s="100"/>
      <c r="T7" s="101"/>
      <c r="U7" s="102"/>
      <c r="V7" s="103"/>
      <c r="W7" s="104"/>
      <c r="X7" s="104"/>
      <c r="Y7" s="18"/>
      <c r="Z7" s="18"/>
      <c r="AA7" s="18"/>
      <c r="AB7" s="19"/>
      <c r="AC7" s="63"/>
      <c r="AD7" s="132"/>
      <c r="AE7" s="34"/>
      <c r="AF7" s="34"/>
      <c r="AG7" s="34"/>
      <c r="AH7" s="22"/>
      <c r="AI7" s="22"/>
      <c r="AJ7" s="22"/>
      <c r="AK7" s="22"/>
      <c r="AL7" s="38" t="s">
        <v>75</v>
      </c>
      <c r="AM7" s="133">
        <v>0.007</v>
      </c>
      <c r="AN7" s="22"/>
      <c r="AO7" s="29" t="s">
        <v>76</v>
      </c>
      <c r="AP7" s="37">
        <v>31.29</v>
      </c>
      <c r="AQ7" s="22"/>
      <c r="AR7" s="38" t="s">
        <v>77</v>
      </c>
      <c r="AS7" s="134">
        <v>5.66</v>
      </c>
      <c r="AT7" s="119"/>
      <c r="AU7" s="119"/>
      <c r="AV7" s="22"/>
      <c r="AW7" s="22"/>
      <c r="AX7" s="22"/>
      <c r="AY7" s="22"/>
      <c r="AZ7" s="40"/>
      <c r="BA7" s="135" t="s">
        <v>78</v>
      </c>
      <c r="BB7" s="136"/>
      <c r="BC7" s="22"/>
      <c r="BD7" s="22"/>
      <c r="BE7" s="137"/>
      <c r="BF7" s="138"/>
      <c r="BG7" s="34"/>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row>
    <row r="8" spans="1:92" s="1" customFormat="1" ht="26.25" customHeight="1">
      <c r="A8" s="139"/>
      <c r="B8" s="140">
        <v>1</v>
      </c>
      <c r="C8" s="141">
        <v>2</v>
      </c>
      <c r="D8" s="142">
        <v>3</v>
      </c>
      <c r="E8" s="143">
        <v>4</v>
      </c>
      <c r="F8" s="144"/>
      <c r="G8" s="145">
        <v>4</v>
      </c>
      <c r="H8" s="146">
        <v>5</v>
      </c>
      <c r="I8" s="147">
        <v>5</v>
      </c>
      <c r="J8" s="147">
        <v>6</v>
      </c>
      <c r="K8" s="148">
        <v>6</v>
      </c>
      <c r="L8" s="148"/>
      <c r="M8" s="149" t="str">
        <f>"        7"</f>
        <v>        7</v>
      </c>
      <c r="N8" s="150"/>
      <c r="O8" s="151">
        <v>8</v>
      </c>
      <c r="P8" s="147">
        <v>9</v>
      </c>
      <c r="Q8" s="152">
        <v>11</v>
      </c>
      <c r="R8" s="153">
        <v>12</v>
      </c>
      <c r="S8" s="154"/>
      <c r="T8" s="155"/>
      <c r="U8" s="156"/>
      <c r="V8" s="157"/>
      <c r="W8" s="158"/>
      <c r="X8" s="158"/>
      <c r="Y8" s="18"/>
      <c r="Z8" s="18"/>
      <c r="AA8" s="18"/>
      <c r="AB8" s="19"/>
      <c r="AC8" s="159"/>
      <c r="AD8" s="132"/>
      <c r="AE8" s="34"/>
      <c r="AF8" s="34"/>
      <c r="AG8" s="34"/>
      <c r="AH8" s="160"/>
      <c r="AI8" s="160"/>
      <c r="AJ8" s="160"/>
      <c r="AK8" s="160"/>
      <c r="AL8" s="38" t="s">
        <v>79</v>
      </c>
      <c r="AM8" s="36">
        <v>0.022</v>
      </c>
      <c r="AN8" s="160"/>
      <c r="AO8" s="29" t="s">
        <v>80</v>
      </c>
      <c r="AP8" s="37">
        <v>32.04</v>
      </c>
      <c r="AQ8" s="22"/>
      <c r="AR8" s="38" t="s">
        <v>81</v>
      </c>
      <c r="AS8" s="37">
        <v>41.69</v>
      </c>
      <c r="AT8" s="39"/>
      <c r="AU8" s="39"/>
      <c r="AV8" s="160"/>
      <c r="AW8" s="160"/>
      <c r="AX8" s="160"/>
      <c r="AY8" s="160"/>
      <c r="AZ8" s="65" t="s">
        <v>82</v>
      </c>
      <c r="BA8" s="41" t="s">
        <v>83</v>
      </c>
      <c r="BB8" s="161">
        <v>0.45</v>
      </c>
      <c r="BC8" s="22"/>
      <c r="BD8" s="160"/>
      <c r="BE8" s="137"/>
      <c r="BF8" s="138"/>
      <c r="BG8" s="34"/>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row>
    <row r="9" spans="1:92" s="1" customFormat="1" ht="12.75">
      <c r="A9" s="70"/>
      <c r="B9" s="89"/>
      <c r="C9" s="162"/>
      <c r="D9" s="73"/>
      <c r="E9" s="125"/>
      <c r="F9" s="163"/>
      <c r="G9" s="127"/>
      <c r="H9" s="128"/>
      <c r="I9" s="78"/>
      <c r="J9" s="78"/>
      <c r="K9" s="164"/>
      <c r="L9" s="164"/>
      <c r="M9" s="165"/>
      <c r="N9" s="166"/>
      <c r="O9" s="97"/>
      <c r="P9" s="167"/>
      <c r="Q9" s="168"/>
      <c r="R9" s="169"/>
      <c r="S9" s="57"/>
      <c r="T9" s="58"/>
      <c r="U9" s="59"/>
      <c r="V9" s="60"/>
      <c r="W9" s="61"/>
      <c r="X9" s="61"/>
      <c r="Y9" s="170"/>
      <c r="Z9" s="170"/>
      <c r="AA9" s="18"/>
      <c r="AB9" s="19"/>
      <c r="AC9" s="171" t="s">
        <v>84</v>
      </c>
      <c r="AD9" s="132"/>
      <c r="AE9" s="34"/>
      <c r="AF9" s="34"/>
      <c r="AG9" s="34"/>
      <c r="AH9" s="22"/>
      <c r="AI9" s="160"/>
      <c r="AJ9" s="160"/>
      <c r="AK9" s="160"/>
      <c r="AL9" s="27" t="s">
        <v>85</v>
      </c>
      <c r="AM9" s="36">
        <v>0.022</v>
      </c>
      <c r="AN9" s="160"/>
      <c r="AO9" s="29" t="s">
        <v>86</v>
      </c>
      <c r="AP9" s="37">
        <v>14.19</v>
      </c>
      <c r="AQ9" s="22"/>
      <c r="AR9" s="38" t="s">
        <v>87</v>
      </c>
      <c r="AS9" s="37">
        <v>1.85</v>
      </c>
      <c r="AT9" s="39"/>
      <c r="AU9" s="39"/>
      <c r="AV9" s="160"/>
      <c r="AW9" s="160"/>
      <c r="AX9" s="160"/>
      <c r="AY9" s="160"/>
      <c r="AZ9" s="40"/>
      <c r="BA9" s="135" t="s">
        <v>88</v>
      </c>
      <c r="BB9" s="136"/>
      <c r="BC9" s="22"/>
      <c r="BD9" s="160"/>
      <c r="BE9" s="137"/>
      <c r="BF9" s="138"/>
      <c r="BG9" s="34"/>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row>
    <row r="10" spans="1:92" s="1" customFormat="1" ht="21" customHeight="1">
      <c r="A10" s="70"/>
      <c r="B10" s="89"/>
      <c r="C10" s="172" t="s">
        <v>89</v>
      </c>
      <c r="D10" s="73" t="s">
        <v>90</v>
      </c>
      <c r="E10" s="125"/>
      <c r="F10" s="163"/>
      <c r="G10" s="127"/>
      <c r="H10" s="128"/>
      <c r="I10" s="78"/>
      <c r="J10" s="78"/>
      <c r="K10" s="164"/>
      <c r="L10" s="164"/>
      <c r="M10" s="165"/>
      <c r="N10" s="166"/>
      <c r="O10" s="97"/>
      <c r="P10" s="167"/>
      <c r="Q10" s="168"/>
      <c r="R10" s="169"/>
      <c r="S10" s="57"/>
      <c r="T10" s="58"/>
      <c r="U10" s="59"/>
      <c r="V10" s="60"/>
      <c r="W10" s="61"/>
      <c r="X10" s="61"/>
      <c r="Y10" s="170"/>
      <c r="Z10" s="170"/>
      <c r="AA10" s="170"/>
      <c r="AB10" s="19"/>
      <c r="AC10" s="171" t="s">
        <v>91</v>
      </c>
      <c r="AD10" s="132"/>
      <c r="AE10" s="34"/>
      <c r="AF10" s="34"/>
      <c r="AG10" s="34"/>
      <c r="AH10" s="22"/>
      <c r="AI10" s="160"/>
      <c r="AJ10" s="160"/>
      <c r="AK10" s="160"/>
      <c r="AL10" s="29" t="s">
        <v>92</v>
      </c>
      <c r="AM10" s="36">
        <v>0.007</v>
      </c>
      <c r="AN10" s="160"/>
      <c r="AO10" s="29" t="s">
        <v>93</v>
      </c>
      <c r="AP10" s="37">
        <v>17.14</v>
      </c>
      <c r="AQ10" s="22"/>
      <c r="AR10" s="38"/>
      <c r="AS10" s="37"/>
      <c r="AT10" s="39"/>
      <c r="AU10" s="39"/>
      <c r="AV10" s="160"/>
      <c r="AW10" s="160"/>
      <c r="AX10" s="160"/>
      <c r="AY10" s="160"/>
      <c r="AZ10" s="65" t="s">
        <v>94</v>
      </c>
      <c r="BA10" s="173" t="s">
        <v>95</v>
      </c>
      <c r="BB10" s="174">
        <v>0.59</v>
      </c>
      <c r="BC10" s="22"/>
      <c r="BD10" s="160"/>
      <c r="BE10" s="137"/>
      <c r="BF10" s="138"/>
      <c r="BG10" s="34"/>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row>
    <row r="11" spans="1:92" s="1" customFormat="1" ht="12.75">
      <c r="A11" s="175"/>
      <c r="B11" s="176"/>
      <c r="C11" s="176"/>
      <c r="D11" s="73"/>
      <c r="E11" s="125"/>
      <c r="F11" s="163"/>
      <c r="G11" s="127" t="s">
        <v>96</v>
      </c>
      <c r="H11" s="128" t="str">
        <f>P</f>
        <v>. . .</v>
      </c>
      <c r="I11" s="78"/>
      <c r="J11" s="78"/>
      <c r="K11" s="164"/>
      <c r="L11" s="164"/>
      <c r="M11" s="177"/>
      <c r="N11" s="178"/>
      <c r="O11" s="179"/>
      <c r="P11" s="113"/>
      <c r="Q11" s="180"/>
      <c r="R11" s="181"/>
      <c r="S11" s="57"/>
      <c r="T11" s="182"/>
      <c r="U11" s="183"/>
      <c r="V11" s="184"/>
      <c r="W11" s="185"/>
      <c r="X11" s="185"/>
      <c r="Y11" s="35">
        <v>9348</v>
      </c>
      <c r="Z11" s="35"/>
      <c r="AA11" s="170"/>
      <c r="AB11" s="19"/>
      <c r="AC11" s="171" t="s">
        <v>97</v>
      </c>
      <c r="AD11" s="132"/>
      <c r="AE11" s="34"/>
      <c r="AF11" s="34"/>
      <c r="AG11" s="34"/>
      <c r="AH11" s="34"/>
      <c r="AI11" s="34"/>
      <c r="AJ11" s="160"/>
      <c r="AK11" s="160"/>
      <c r="AL11" s="27" t="s">
        <v>98</v>
      </c>
      <c r="AM11" s="36">
        <v>0.022</v>
      </c>
      <c r="AN11" s="160"/>
      <c r="AO11" s="29" t="s">
        <v>99</v>
      </c>
      <c r="AP11" s="37">
        <v>30.79</v>
      </c>
      <c r="AQ11" s="22"/>
      <c r="AR11" s="38" t="s">
        <v>100</v>
      </c>
      <c r="AS11" s="37">
        <v>1.22</v>
      </c>
      <c r="AT11" s="39"/>
      <c r="AU11" s="39"/>
      <c r="AV11" s="160"/>
      <c r="AW11" s="160"/>
      <c r="AX11" s="160"/>
      <c r="AY11" s="160"/>
      <c r="AZ11" s="65" t="s">
        <v>101</v>
      </c>
      <c r="BA11" s="173" t="s">
        <v>102</v>
      </c>
      <c r="BB11" s="174">
        <v>0.65</v>
      </c>
      <c r="BC11" s="22"/>
      <c r="BD11" s="160"/>
      <c r="BE11" s="89"/>
      <c r="BF11" s="89"/>
      <c r="BG11" s="34"/>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row>
    <row r="12" spans="1:92" s="1" customFormat="1" ht="18.75">
      <c r="A12" s="186">
        <v>1</v>
      </c>
      <c r="B12" s="187" t="s">
        <v>103</v>
      </c>
      <c r="C12" s="188" t="s">
        <v>104</v>
      </c>
      <c r="D12" s="73" t="str">
        <f>P</f>
        <v>. . .</v>
      </c>
      <c r="E12" s="125" t="s">
        <v>105</v>
      </c>
      <c r="F12" s="163"/>
      <c r="G12" s="127" t="s">
        <v>106</v>
      </c>
      <c r="H12" s="128" t="str">
        <f>P</f>
        <v>. . .</v>
      </c>
      <c r="I12" s="113">
        <f>VFFHS</f>
        <v>14.19</v>
      </c>
      <c r="J12" s="78" t="s">
        <v>107</v>
      </c>
      <c r="K12" s="164" t="s">
        <v>108</v>
      </c>
      <c r="L12" s="164"/>
      <c r="M12" s="177">
        <f>TIGH</f>
        <v>1.22</v>
      </c>
      <c r="N12" s="178"/>
      <c r="O12" s="179" t="str">
        <f>P</f>
        <v>. . .</v>
      </c>
      <c r="P12" s="113" t="str">
        <f>P</f>
        <v>. . .</v>
      </c>
      <c r="Q12" s="180">
        <f>TVAFLHTSMETRO</f>
        <v>3.24184</v>
      </c>
      <c r="R12" s="181">
        <f>TVAFLHTSCORSE</f>
        <v>2.1502</v>
      </c>
      <c r="S12" s="189"/>
      <c r="T12" s="182">
        <v>5701</v>
      </c>
      <c r="U12" s="183"/>
      <c r="V12" s="11"/>
      <c r="W12" s="190">
        <v>5902</v>
      </c>
      <c r="X12" s="190"/>
      <c r="Y12" s="170"/>
      <c r="Z12" s="170"/>
      <c r="AA12" s="35"/>
      <c r="AB12" s="19"/>
      <c r="AC12" s="171" t="s">
        <v>109</v>
      </c>
      <c r="AD12" s="132"/>
      <c r="AE12" s="34"/>
      <c r="AF12" s="34"/>
      <c r="AG12" s="34"/>
      <c r="AH12" s="22"/>
      <c r="AI12" s="160"/>
      <c r="AJ12" s="160"/>
      <c r="AK12" s="160"/>
      <c r="AL12" s="29" t="s">
        <v>110</v>
      </c>
      <c r="AM12" s="36">
        <v>0.046</v>
      </c>
      <c r="AN12" s="160"/>
      <c r="AO12" s="191" t="s">
        <v>111</v>
      </c>
      <c r="AP12" s="37">
        <v>31.68</v>
      </c>
      <c r="AQ12" s="22"/>
      <c r="AR12" s="38" t="s">
        <v>112</v>
      </c>
      <c r="AS12" s="37">
        <v>10.76</v>
      </c>
      <c r="AT12" s="39"/>
      <c r="AU12" s="39"/>
      <c r="AV12" s="160"/>
      <c r="AW12" s="160"/>
      <c r="AX12" s="160"/>
      <c r="AY12" s="160"/>
      <c r="AZ12" s="40"/>
      <c r="BA12" s="40" t="s">
        <v>113</v>
      </c>
      <c r="BB12" s="40"/>
      <c r="BC12" s="22"/>
      <c r="BD12" s="160"/>
      <c r="BE12" s="89"/>
      <c r="BF12" s="89"/>
      <c r="BG12" s="34"/>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1:92" s="1" customFormat="1" ht="12.75">
      <c r="A13" s="70">
        <v>2</v>
      </c>
      <c r="B13" s="89" t="s">
        <v>114</v>
      </c>
      <c r="C13" s="192" t="s">
        <v>115</v>
      </c>
      <c r="D13" s="73" t="str">
        <f>P</f>
        <v>. . .</v>
      </c>
      <c r="E13" s="125" t="s">
        <v>116</v>
      </c>
      <c r="F13" s="163"/>
      <c r="G13" s="127" t="s">
        <v>117</v>
      </c>
      <c r="H13" s="128" t="str">
        <f>P</f>
        <v>. . .</v>
      </c>
      <c r="I13" s="78" t="str">
        <f>"Réelle"</f>
        <v>Réelle</v>
      </c>
      <c r="J13" s="78" t="str">
        <f>P</f>
        <v>. . .</v>
      </c>
      <c r="K13" s="164" t="s">
        <v>118</v>
      </c>
      <c r="L13" s="164"/>
      <c r="M13" s="177" t="s">
        <v>119</v>
      </c>
      <c r="N13" s="178"/>
      <c r="O13" s="179" t="str">
        <f>P</f>
        <v>. . .</v>
      </c>
      <c r="P13" s="113" t="str">
        <f>P</f>
        <v>. . .</v>
      </c>
      <c r="Q13" s="113" t="str">
        <f>"(25)"</f>
        <v>(25)</v>
      </c>
      <c r="R13" s="193" t="str">
        <f>VI</f>
        <v>(25)</v>
      </c>
      <c r="S13" s="189"/>
      <c r="T13" s="9"/>
      <c r="U13" s="10"/>
      <c r="V13" s="11"/>
      <c r="W13" s="12" t="str">
        <f>t</f>
        <v>TVO</v>
      </c>
      <c r="X13" s="12"/>
      <c r="Y13" s="170"/>
      <c r="Z13" s="170"/>
      <c r="AA13" s="170"/>
      <c r="AB13" s="19"/>
      <c r="AC13" s="194" t="s">
        <v>120</v>
      </c>
      <c r="AD13" s="132"/>
      <c r="AE13" s="34"/>
      <c r="AF13" s="34"/>
      <c r="AG13" s="34"/>
      <c r="AH13" s="22"/>
      <c r="AI13" s="160"/>
      <c r="AJ13" s="160"/>
      <c r="AK13" s="160"/>
      <c r="AL13" s="29" t="s">
        <v>121</v>
      </c>
      <c r="AM13" s="36">
        <v>0.053</v>
      </c>
      <c r="AN13" s="160"/>
      <c r="AO13" s="29" t="s">
        <v>122</v>
      </c>
      <c r="AP13" s="37">
        <v>22.87</v>
      </c>
      <c r="AQ13" s="22"/>
      <c r="AR13" s="38" t="s">
        <v>123</v>
      </c>
      <c r="AS13" s="37">
        <v>8.47</v>
      </c>
      <c r="AT13" s="39"/>
      <c r="AU13" s="39"/>
      <c r="AV13" s="160"/>
      <c r="AW13" s="160"/>
      <c r="AX13" s="160"/>
      <c r="AY13" s="160"/>
      <c r="AZ13" s="89"/>
      <c r="BA13" s="195"/>
      <c r="BB13" s="196"/>
      <c r="BC13" s="22"/>
      <c r="BD13" s="160"/>
      <c r="BE13" s="22"/>
      <c r="BF13" s="22"/>
      <c r="BG13" s="34"/>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row>
    <row r="14" spans="1:92" s="1" customFormat="1" ht="12.75">
      <c r="A14" s="70"/>
      <c r="B14" s="197"/>
      <c r="C14" s="198"/>
      <c r="D14" s="73"/>
      <c r="E14" s="125"/>
      <c r="F14" s="163"/>
      <c r="G14" s="127"/>
      <c r="H14" s="128"/>
      <c r="I14" s="78"/>
      <c r="J14" s="78"/>
      <c r="K14" s="164"/>
      <c r="L14" s="164"/>
      <c r="M14" s="177"/>
      <c r="N14" s="178"/>
      <c r="O14" s="179"/>
      <c r="P14" s="113"/>
      <c r="Q14" s="180"/>
      <c r="R14" s="181"/>
      <c r="S14" s="199"/>
      <c r="T14" s="182"/>
      <c r="U14" s="183"/>
      <c r="V14" s="184"/>
      <c r="W14" s="185"/>
      <c r="X14" s="185"/>
      <c r="Y14" s="170"/>
      <c r="Z14" s="170"/>
      <c r="AA14" s="170"/>
      <c r="AB14" s="19"/>
      <c r="AC14" s="159"/>
      <c r="AD14" s="132"/>
      <c r="AE14" s="34"/>
      <c r="AF14" s="34"/>
      <c r="AG14" s="34"/>
      <c r="AH14" s="22"/>
      <c r="AI14" s="160"/>
      <c r="AJ14" s="160"/>
      <c r="AK14" s="160"/>
      <c r="AL14" s="29" t="s">
        <v>124</v>
      </c>
      <c r="AM14" s="36">
        <v>0.058</v>
      </c>
      <c r="AN14" s="160"/>
      <c r="AO14" s="29" t="s">
        <v>125</v>
      </c>
      <c r="AP14" s="37">
        <v>31.29</v>
      </c>
      <c r="AQ14" s="22"/>
      <c r="AR14" s="38" t="s">
        <v>126</v>
      </c>
      <c r="AS14" s="37">
        <v>1.1300000000000001</v>
      </c>
      <c r="AT14" s="39"/>
      <c r="AU14" s="39"/>
      <c r="AV14" s="160"/>
      <c r="AW14" s="160"/>
      <c r="AX14" s="160"/>
      <c r="AY14" s="160"/>
      <c r="AZ14" s="160"/>
      <c r="BA14" s="160"/>
      <c r="BB14" s="22"/>
      <c r="BC14" s="22"/>
      <c r="BD14" s="160"/>
      <c r="BE14" s="22"/>
      <c r="BF14" s="22"/>
      <c r="BG14" s="34"/>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row>
    <row r="15" spans="1:92" s="1" customFormat="1" ht="30" customHeight="1">
      <c r="A15" s="70"/>
      <c r="B15" s="197"/>
      <c r="C15" s="198"/>
      <c r="D15" s="73"/>
      <c r="E15" s="125"/>
      <c r="F15" s="163"/>
      <c r="G15" s="127"/>
      <c r="H15" s="128"/>
      <c r="I15" s="78"/>
      <c r="J15" s="78"/>
      <c r="K15" s="164"/>
      <c r="L15" s="164"/>
      <c r="M15" s="177"/>
      <c r="N15" s="178"/>
      <c r="O15" s="179"/>
      <c r="P15" s="113"/>
      <c r="Q15" s="180"/>
      <c r="R15" s="181"/>
      <c r="S15" s="189"/>
      <c r="T15" s="182"/>
      <c r="U15" s="183"/>
      <c r="V15" s="184"/>
      <c r="W15" s="185"/>
      <c r="X15" s="185"/>
      <c r="Y15" s="170"/>
      <c r="Z15" s="170"/>
      <c r="AA15" s="170"/>
      <c r="AB15" s="19"/>
      <c r="AC15" s="159"/>
      <c r="AD15" s="132"/>
      <c r="AE15" s="34"/>
      <c r="AF15" s="34"/>
      <c r="AG15" s="34"/>
      <c r="AH15" s="22"/>
      <c r="AI15" s="160"/>
      <c r="AJ15" s="160"/>
      <c r="AK15" s="160"/>
      <c r="AL15" s="29" t="s">
        <v>127</v>
      </c>
      <c r="AM15" s="200">
        <v>0.063</v>
      </c>
      <c r="AN15" s="160"/>
      <c r="AO15" s="29" t="s">
        <v>128</v>
      </c>
      <c r="AP15" s="37">
        <v>15.24</v>
      </c>
      <c r="AQ15" s="22"/>
      <c r="AR15" s="29" t="s">
        <v>129</v>
      </c>
      <c r="AS15" s="201">
        <v>2.54</v>
      </c>
      <c r="AT15" s="202"/>
      <c r="AU15" s="202"/>
      <c r="AV15" s="160"/>
      <c r="AW15" s="160"/>
      <c r="AX15" s="160"/>
      <c r="AY15" s="160"/>
      <c r="AZ15" s="160"/>
      <c r="BA15" s="160"/>
      <c r="BB15" s="22"/>
      <c r="BC15" s="22"/>
      <c r="BD15" s="160"/>
      <c r="BE15" s="22"/>
      <c r="BF15" s="22"/>
      <c r="BG15" s="34"/>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1:92" s="1" customFormat="1" ht="12.75">
      <c r="A16" s="70"/>
      <c r="B16" s="197"/>
      <c r="C16" s="198"/>
      <c r="D16" s="73"/>
      <c r="E16" s="125"/>
      <c r="F16" s="163"/>
      <c r="G16" s="127"/>
      <c r="H16" s="128"/>
      <c r="I16" s="78"/>
      <c r="J16" s="78"/>
      <c r="K16" s="164"/>
      <c r="L16" s="164"/>
      <c r="M16" s="177"/>
      <c r="N16" s="178"/>
      <c r="O16" s="179"/>
      <c r="P16" s="113"/>
      <c r="Q16" s="180"/>
      <c r="R16" s="181"/>
      <c r="S16" s="189"/>
      <c r="T16" s="182"/>
      <c r="U16" s="183"/>
      <c r="V16" s="184"/>
      <c r="W16" s="185"/>
      <c r="X16" s="185"/>
      <c r="Y16" s="170"/>
      <c r="Z16" s="170"/>
      <c r="AA16" s="170"/>
      <c r="AB16" s="19"/>
      <c r="AC16" s="159"/>
      <c r="AD16" s="132"/>
      <c r="AE16" s="34"/>
      <c r="AF16" s="34"/>
      <c r="AG16" s="34"/>
      <c r="AH16" s="22"/>
      <c r="AI16" s="160"/>
      <c r="AJ16" s="160"/>
      <c r="AK16" s="160"/>
      <c r="AL16" s="29" t="s">
        <v>130</v>
      </c>
      <c r="AM16" s="203">
        <v>0.007</v>
      </c>
      <c r="AN16" s="160"/>
      <c r="AO16" s="29" t="s">
        <v>131</v>
      </c>
      <c r="AP16" s="37">
        <v>45.73</v>
      </c>
      <c r="AQ16" s="22"/>
      <c r="AR16" s="29" t="s">
        <v>132</v>
      </c>
      <c r="AS16" s="37">
        <v>4.68</v>
      </c>
      <c r="AT16" s="39"/>
      <c r="AU16" s="39"/>
      <c r="AV16" s="160"/>
      <c r="AW16" s="160"/>
      <c r="AX16" s="160"/>
      <c r="AY16" s="160"/>
      <c r="AZ16" s="160"/>
      <c r="BA16" s="160"/>
      <c r="BB16" s="22"/>
      <c r="BC16" s="22"/>
      <c r="BD16" s="160"/>
      <c r="BE16" s="22"/>
      <c r="BF16" s="22"/>
      <c r="BG16" s="34"/>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row>
    <row r="17" spans="1:92" s="1" customFormat="1" ht="25.5">
      <c r="A17" s="70"/>
      <c r="B17" s="197"/>
      <c r="C17" s="172" t="s">
        <v>133</v>
      </c>
      <c r="D17" s="73"/>
      <c r="E17" s="125"/>
      <c r="F17" s="163"/>
      <c r="G17" s="127"/>
      <c r="H17" s="128"/>
      <c r="I17" s="78"/>
      <c r="J17" s="78"/>
      <c r="K17" s="164"/>
      <c r="L17" s="164"/>
      <c r="M17" s="177"/>
      <c r="N17" s="178"/>
      <c r="O17" s="179"/>
      <c r="P17" s="113"/>
      <c r="Q17" s="180"/>
      <c r="R17" s="181"/>
      <c r="S17" s="189"/>
      <c r="T17" s="182"/>
      <c r="U17" s="183"/>
      <c r="V17" s="184"/>
      <c r="W17" s="185"/>
      <c r="X17" s="185"/>
      <c r="Y17" s="170"/>
      <c r="Z17" s="170"/>
      <c r="AA17" s="170"/>
      <c r="AB17" s="19"/>
      <c r="AC17" s="159"/>
      <c r="AD17" s="132"/>
      <c r="AE17" s="34"/>
      <c r="AF17" s="34"/>
      <c r="AG17" s="34"/>
      <c r="AH17" s="22"/>
      <c r="AI17" s="160"/>
      <c r="AJ17" s="160"/>
      <c r="AK17" s="160"/>
      <c r="AL17" s="204" t="s">
        <v>134</v>
      </c>
      <c r="AM17" s="203">
        <v>0.007</v>
      </c>
      <c r="AN17" s="160"/>
      <c r="AO17" s="29" t="s">
        <v>135</v>
      </c>
      <c r="AP17" s="37">
        <v>91.47</v>
      </c>
      <c r="AQ17" s="22"/>
      <c r="AR17" s="29" t="s">
        <v>136</v>
      </c>
      <c r="AS17" s="29">
        <v>1.8</v>
      </c>
      <c r="AT17" s="89"/>
      <c r="AU17" s="89"/>
      <c r="AV17" s="160"/>
      <c r="AW17" s="160"/>
      <c r="AX17" s="205"/>
      <c r="AY17" s="160"/>
      <c r="AZ17" s="160"/>
      <c r="BA17" s="206"/>
      <c r="BB17" s="22"/>
      <c r="BC17" s="22"/>
      <c r="BD17" s="160"/>
      <c r="BE17" s="22"/>
      <c r="BF17" s="22"/>
      <c r="BG17" s="34"/>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row>
    <row r="18" spans="1:92" s="1" customFormat="1" ht="12.75">
      <c r="A18" s="70"/>
      <c r="B18" s="197"/>
      <c r="C18" s="172"/>
      <c r="D18" s="73"/>
      <c r="E18" s="125"/>
      <c r="F18" s="163"/>
      <c r="G18" s="127"/>
      <c r="H18" s="128"/>
      <c r="I18" s="78"/>
      <c r="J18" s="78"/>
      <c r="K18" s="164"/>
      <c r="L18" s="164"/>
      <c r="M18" s="177"/>
      <c r="N18" s="178"/>
      <c r="O18" s="179"/>
      <c r="P18" s="113"/>
      <c r="Q18" s="180"/>
      <c r="R18" s="181"/>
      <c r="S18" s="189"/>
      <c r="T18" s="182"/>
      <c r="U18" s="183"/>
      <c r="V18" s="184"/>
      <c r="W18" s="185"/>
      <c r="X18" s="185"/>
      <c r="Y18" s="170"/>
      <c r="Z18" s="170"/>
      <c r="AA18" s="170"/>
      <c r="AB18" s="19"/>
      <c r="AC18" s="159"/>
      <c r="AD18" s="132"/>
      <c r="AE18" s="34"/>
      <c r="AF18" s="34"/>
      <c r="AG18" s="34"/>
      <c r="AH18" s="22"/>
      <c r="AI18" s="160"/>
      <c r="AJ18" s="160"/>
      <c r="AK18" s="160"/>
      <c r="AL18" s="204" t="s">
        <v>137</v>
      </c>
      <c r="AM18" s="203">
        <v>0.007</v>
      </c>
      <c r="AN18" s="160"/>
      <c r="AO18" s="29" t="s">
        <v>138</v>
      </c>
      <c r="AP18" s="37">
        <v>60.98</v>
      </c>
      <c r="AQ18" s="22"/>
      <c r="AR18" s="29" t="s">
        <v>139</v>
      </c>
      <c r="AS18" s="29">
        <v>24.54</v>
      </c>
      <c r="AT18" s="89"/>
      <c r="AU18" s="89"/>
      <c r="AV18" s="160"/>
      <c r="AW18" s="160"/>
      <c r="AX18" s="160"/>
      <c r="AY18" s="160"/>
      <c r="AZ18" s="160"/>
      <c r="BA18" s="206"/>
      <c r="BB18" s="22"/>
      <c r="BC18" s="22"/>
      <c r="BD18" s="160"/>
      <c r="BE18" s="22"/>
      <c r="BF18" s="22"/>
      <c r="BG18" s="34"/>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row>
    <row r="19" spans="1:92" s="1" customFormat="1" ht="12.75">
      <c r="A19" s="70"/>
      <c r="B19" s="197"/>
      <c r="C19" s="172"/>
      <c r="D19" s="73"/>
      <c r="E19" s="125"/>
      <c r="F19" s="163"/>
      <c r="G19" s="127"/>
      <c r="H19" s="128"/>
      <c r="I19" s="78"/>
      <c r="J19" s="78"/>
      <c r="K19" s="164"/>
      <c r="L19" s="164"/>
      <c r="M19" s="177"/>
      <c r="N19" s="178"/>
      <c r="O19" s="179"/>
      <c r="P19" s="113"/>
      <c r="Q19" s="180"/>
      <c r="R19" s="181"/>
      <c r="S19" s="189"/>
      <c r="T19" s="182"/>
      <c r="U19" s="183"/>
      <c r="V19" s="184"/>
      <c r="W19" s="185"/>
      <c r="X19" s="185"/>
      <c r="Y19" s="170"/>
      <c r="Z19" s="170"/>
      <c r="AA19" s="170"/>
      <c r="AB19" s="19"/>
      <c r="AC19" s="159"/>
      <c r="AD19" s="132"/>
      <c r="AE19" s="34"/>
      <c r="AF19" s="34"/>
      <c r="AG19" s="34"/>
      <c r="AH19" s="22"/>
      <c r="AI19" s="160"/>
      <c r="AJ19" s="160"/>
      <c r="AK19" s="160"/>
      <c r="AL19" s="204" t="s">
        <v>140</v>
      </c>
      <c r="AM19" s="203">
        <v>0.065</v>
      </c>
      <c r="AN19" s="160"/>
      <c r="AO19" s="29" t="s">
        <v>141</v>
      </c>
      <c r="AP19" s="37">
        <v>106.71</v>
      </c>
      <c r="AQ19" s="160"/>
      <c r="AR19" s="22"/>
      <c r="AS19" s="22"/>
      <c r="AT19" s="22"/>
      <c r="AU19" s="22"/>
      <c r="AV19" s="160"/>
      <c r="AW19" s="160"/>
      <c r="AX19" s="160"/>
      <c r="AY19" s="160"/>
      <c r="AZ19" s="160"/>
      <c r="BA19" s="160"/>
      <c r="BB19" s="22"/>
      <c r="BC19" s="22"/>
      <c r="BD19" s="160"/>
      <c r="BE19" s="22"/>
      <c r="BF19" s="22"/>
      <c r="BG19" s="34"/>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row>
    <row r="20" spans="1:92" s="1" customFormat="1" ht="12.75">
      <c r="A20" s="70"/>
      <c r="B20" s="197"/>
      <c r="C20" s="198"/>
      <c r="D20" s="73"/>
      <c r="E20" s="125"/>
      <c r="F20" s="163"/>
      <c r="G20" s="127"/>
      <c r="H20" s="128"/>
      <c r="I20" s="78"/>
      <c r="J20" s="78"/>
      <c r="K20" s="164"/>
      <c r="L20" s="164"/>
      <c r="M20" s="177"/>
      <c r="N20" s="178"/>
      <c r="O20" s="179"/>
      <c r="P20" s="113"/>
      <c r="Q20" s="180"/>
      <c r="R20" s="181"/>
      <c r="S20" s="189"/>
      <c r="T20" s="182"/>
      <c r="U20" s="183"/>
      <c r="V20" s="184"/>
      <c r="W20" s="185"/>
      <c r="X20" s="185"/>
      <c r="Y20" s="35">
        <v>4004</v>
      </c>
      <c r="Z20" s="35">
        <v>9348</v>
      </c>
      <c r="AA20" s="170">
        <v>9301</v>
      </c>
      <c r="AB20" s="19"/>
      <c r="AC20" s="159"/>
      <c r="AD20" s="132"/>
      <c r="AE20" s="34"/>
      <c r="AF20" s="34"/>
      <c r="AG20" s="34"/>
      <c r="AH20" s="22"/>
      <c r="AI20" s="160"/>
      <c r="AJ20" s="160"/>
      <c r="AK20" s="160"/>
      <c r="AL20" s="191" t="s">
        <v>142</v>
      </c>
      <c r="AM20" s="207" t="s">
        <v>143</v>
      </c>
      <c r="AN20" s="160"/>
      <c r="AO20" s="29" t="s">
        <v>144</v>
      </c>
      <c r="AP20" s="37">
        <v>29.7</v>
      </c>
      <c r="AQ20" s="160"/>
      <c r="AR20" s="22"/>
      <c r="AS20" s="22"/>
      <c r="AT20" s="22"/>
      <c r="AU20" s="22"/>
      <c r="AV20" s="160"/>
      <c r="AW20" s="160"/>
      <c r="AX20" s="160"/>
      <c r="AY20" s="160"/>
      <c r="AZ20" s="160"/>
      <c r="BA20" s="160"/>
      <c r="BB20" s="22"/>
      <c r="BC20" s="22"/>
      <c r="BD20" s="160"/>
      <c r="BE20" s="22"/>
      <c r="BF20" s="22"/>
      <c r="BG20" s="34"/>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row>
    <row r="21" spans="1:92" s="1" customFormat="1" ht="12.75">
      <c r="A21" s="70"/>
      <c r="B21" s="197"/>
      <c r="C21" s="192" t="s">
        <v>145</v>
      </c>
      <c r="D21" s="73"/>
      <c r="E21" s="125"/>
      <c r="F21" s="163"/>
      <c r="G21" s="127"/>
      <c r="H21" s="128"/>
      <c r="I21" s="78"/>
      <c r="J21" s="78"/>
      <c r="K21" s="164"/>
      <c r="L21" s="164"/>
      <c r="M21" s="177"/>
      <c r="N21" s="178"/>
      <c r="O21" s="179"/>
      <c r="P21" s="113"/>
      <c r="Q21" s="180"/>
      <c r="R21" s="181"/>
      <c r="S21" s="189"/>
      <c r="T21" s="182"/>
      <c r="U21" s="183"/>
      <c r="V21" s="184"/>
      <c r="W21" s="185"/>
      <c r="X21" s="185"/>
      <c r="Y21" s="35">
        <v>9301</v>
      </c>
      <c r="Z21" s="35"/>
      <c r="AA21" s="35"/>
      <c r="AB21" s="19"/>
      <c r="AC21" s="159"/>
      <c r="AD21" s="132"/>
      <c r="AE21" s="34"/>
      <c r="AF21" s="34"/>
      <c r="AG21" s="34"/>
      <c r="AH21" s="22"/>
      <c r="AI21" s="160"/>
      <c r="AJ21" s="160"/>
      <c r="AK21" s="160"/>
      <c r="AL21" s="208"/>
      <c r="AM21" s="209"/>
      <c r="AN21" s="160"/>
      <c r="AO21" s="160"/>
      <c r="AP21" s="160"/>
      <c r="AQ21" s="160"/>
      <c r="AR21" s="22"/>
      <c r="AS21" s="22"/>
      <c r="AT21" s="22"/>
      <c r="AU21" s="22"/>
      <c r="AV21" s="160"/>
      <c r="AW21" s="160"/>
      <c r="AX21" s="160"/>
      <c r="AY21" s="160"/>
      <c r="AZ21" s="160"/>
      <c r="BA21" s="160"/>
      <c r="BB21" s="22"/>
      <c r="BC21" s="22"/>
      <c r="BD21" s="160"/>
      <c r="BE21" s="160"/>
      <c r="BF21" s="160"/>
      <c r="BG21" s="34"/>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row>
    <row r="22" spans="1:92" s="1" customFormat="1" ht="12.75">
      <c r="A22" s="70">
        <v>3</v>
      </c>
      <c r="B22" s="89" t="s">
        <v>146</v>
      </c>
      <c r="C22" s="210" t="s">
        <v>147</v>
      </c>
      <c r="D22" s="73" t="str">
        <f>P</f>
        <v>. . .</v>
      </c>
      <c r="E22" s="125">
        <v>0.03</v>
      </c>
      <c r="F22" s="163"/>
      <c r="G22" s="127"/>
      <c r="H22" s="128"/>
      <c r="I22" s="78" t="str">
        <f>R</f>
        <v>Réelle</v>
      </c>
      <c r="J22" s="78" t="s">
        <v>148</v>
      </c>
      <c r="K22" s="211">
        <v>0.03</v>
      </c>
      <c r="L22" s="164"/>
      <c r="M22" s="177" t="str">
        <f>"(9)"</f>
        <v>(9)</v>
      </c>
      <c r="N22" s="178"/>
      <c r="O22" s="179" t="str">
        <f>P</f>
        <v>. . .</v>
      </c>
      <c r="P22" s="113" t="str">
        <f>P</f>
        <v>. . .</v>
      </c>
      <c r="Q22" s="113" t="str">
        <f>VI</f>
        <v>(25)</v>
      </c>
      <c r="R22" s="193" t="str">
        <f>VI</f>
        <v>(25)</v>
      </c>
      <c r="S22" s="189"/>
      <c r="T22" s="9"/>
      <c r="U22" s="10"/>
      <c r="V22" s="11"/>
      <c r="W22" s="88" t="s">
        <v>149</v>
      </c>
      <c r="X22" s="88"/>
      <c r="Y22" s="170"/>
      <c r="Z22" s="170"/>
      <c r="AA22" s="35"/>
      <c r="AB22" s="19"/>
      <c r="AC22" s="159"/>
      <c r="AD22" s="132"/>
      <c r="AE22" s="34"/>
      <c r="AF22" s="34"/>
      <c r="AG22" s="34"/>
      <c r="AH22" s="22"/>
      <c r="AI22" s="160"/>
      <c r="AJ22" s="160"/>
      <c r="AK22" s="160"/>
      <c r="AL22" s="208"/>
      <c r="AM22" s="209"/>
      <c r="AN22" s="160"/>
      <c r="AO22" s="160"/>
      <c r="AP22" s="160"/>
      <c r="AQ22" s="160"/>
      <c r="AR22" s="22"/>
      <c r="AS22" s="22"/>
      <c r="AT22" s="22"/>
      <c r="AU22" s="22"/>
      <c r="AV22" s="160"/>
      <c r="AW22" s="160"/>
      <c r="AX22" s="160"/>
      <c r="AY22" s="160"/>
      <c r="AZ22" s="160"/>
      <c r="BA22" s="160"/>
      <c r="BB22" s="22"/>
      <c r="BC22" s="22"/>
      <c r="BD22" s="160"/>
      <c r="BE22" s="160"/>
      <c r="BF22" s="160"/>
      <c r="BG22" s="34"/>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row>
    <row r="23" spans="1:92" s="1" customFormat="1" ht="12.75">
      <c r="A23" s="70">
        <v>4</v>
      </c>
      <c r="B23" s="89" t="s">
        <v>150</v>
      </c>
      <c r="C23" s="210" t="s">
        <v>151</v>
      </c>
      <c r="D23" s="73" t="str">
        <f>P</f>
        <v>. . .</v>
      </c>
      <c r="E23" s="125" t="s">
        <v>152</v>
      </c>
      <c r="F23" s="163"/>
      <c r="G23" s="127"/>
      <c r="H23" s="128"/>
      <c r="I23" s="78" t="str">
        <f>R</f>
        <v>Réelle</v>
      </c>
      <c r="J23" s="78" t="str">
        <f>P</f>
        <v>. . .</v>
      </c>
      <c r="K23" s="164" t="s">
        <v>153</v>
      </c>
      <c r="L23" s="164"/>
      <c r="M23" s="177" t="s">
        <v>154</v>
      </c>
      <c r="N23" s="178"/>
      <c r="O23" s="179" t="str">
        <f>P</f>
        <v>. . .</v>
      </c>
      <c r="P23" s="113" t="str">
        <f>P</f>
        <v>. . .</v>
      </c>
      <c r="Q23" s="113" t="str">
        <f>VI</f>
        <v>(25)</v>
      </c>
      <c r="R23" s="193" t="str">
        <f>VI</f>
        <v>(25)</v>
      </c>
      <c r="S23" s="199"/>
      <c r="T23" s="9"/>
      <c r="U23" s="10"/>
      <c r="V23" s="87"/>
      <c r="W23" s="88" t="s">
        <v>155</v>
      </c>
      <c r="X23" s="88"/>
      <c r="Y23" s="170"/>
      <c r="Z23" s="170"/>
      <c r="AA23" s="170"/>
      <c r="AB23" s="19"/>
      <c r="AC23" s="159"/>
      <c r="AD23" s="132"/>
      <c r="AE23" s="34"/>
      <c r="AF23" s="34"/>
      <c r="AG23" s="34"/>
      <c r="AH23" s="22"/>
      <c r="AI23" s="160"/>
      <c r="AJ23" s="160"/>
      <c r="AK23" s="160"/>
      <c r="AL23" s="160"/>
      <c r="AM23" s="212"/>
      <c r="AN23" s="160"/>
      <c r="AO23" s="160"/>
      <c r="AP23" s="160"/>
      <c r="AQ23" s="160"/>
      <c r="AR23" s="22"/>
      <c r="AS23" s="22"/>
      <c r="AT23" s="22"/>
      <c r="AU23" s="22"/>
      <c r="AV23" s="160"/>
      <c r="AW23" s="160"/>
      <c r="AX23" s="160"/>
      <c r="AY23" s="160"/>
      <c r="AZ23" s="160"/>
      <c r="BA23" s="160"/>
      <c r="BB23" s="160"/>
      <c r="BC23" s="22"/>
      <c r="BD23" s="160"/>
      <c r="BE23" s="160"/>
      <c r="BF23" s="160"/>
      <c r="BG23" s="34"/>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row>
    <row r="24" spans="1:92" s="1" customFormat="1" ht="12.75">
      <c r="A24" s="70"/>
      <c r="B24" s="197"/>
      <c r="C24" s="213"/>
      <c r="D24" s="73"/>
      <c r="E24" s="125"/>
      <c r="F24" s="163"/>
      <c r="G24" s="127"/>
      <c r="H24" s="128"/>
      <c r="I24" s="78"/>
      <c r="J24" s="78"/>
      <c r="K24" s="164"/>
      <c r="L24" s="164"/>
      <c r="M24" s="177"/>
      <c r="N24" s="178"/>
      <c r="O24" s="179"/>
      <c r="P24" s="113"/>
      <c r="Q24" s="180"/>
      <c r="R24" s="181"/>
      <c r="S24" s="199"/>
      <c r="T24" s="182"/>
      <c r="U24" s="183"/>
      <c r="V24" s="184"/>
      <c r="W24" s="185"/>
      <c r="X24" s="185"/>
      <c r="Y24" s="35">
        <v>4004</v>
      </c>
      <c r="Z24" s="35">
        <v>9348</v>
      </c>
      <c r="AA24" s="170">
        <v>9301</v>
      </c>
      <c r="AB24" s="19"/>
      <c r="AC24" s="159"/>
      <c r="AD24" s="132"/>
      <c r="AE24" s="34"/>
      <c r="AF24" s="34"/>
      <c r="AG24" s="34"/>
      <c r="AH24" s="22"/>
      <c r="AI24" s="160"/>
      <c r="AJ24" s="160"/>
      <c r="AK24" s="160"/>
      <c r="AL24" s="160"/>
      <c r="AM24" s="160"/>
      <c r="AN24" s="160"/>
      <c r="AO24" s="160"/>
      <c r="AP24" s="160"/>
      <c r="AQ24" s="160"/>
      <c r="AR24" s="22"/>
      <c r="AS24" s="22"/>
      <c r="AT24" s="22"/>
      <c r="AU24" s="22"/>
      <c r="AV24" s="160"/>
      <c r="AW24" s="160"/>
      <c r="AX24" s="160"/>
      <c r="AY24" s="160"/>
      <c r="AZ24" s="160"/>
      <c r="BA24" s="160"/>
      <c r="BB24" s="160"/>
      <c r="BC24" s="22"/>
      <c r="BD24" s="160"/>
      <c r="BE24" s="160"/>
      <c r="BF24" s="160"/>
      <c r="BG24" s="34"/>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row>
    <row r="25" spans="1:92" s="1" customFormat="1" ht="12.75">
      <c r="A25" s="70"/>
      <c r="B25" s="197"/>
      <c r="C25" s="192" t="s">
        <v>156</v>
      </c>
      <c r="D25" s="73"/>
      <c r="E25" s="125"/>
      <c r="F25" s="163"/>
      <c r="G25" s="127"/>
      <c r="H25" s="128"/>
      <c r="I25" s="78"/>
      <c r="J25" s="78"/>
      <c r="K25" s="164"/>
      <c r="L25" s="164"/>
      <c r="M25" s="177"/>
      <c r="N25" s="178"/>
      <c r="O25" s="179"/>
      <c r="P25" s="113"/>
      <c r="Q25" s="180"/>
      <c r="R25" s="181"/>
      <c r="S25" s="189"/>
      <c r="T25" s="182"/>
      <c r="U25" s="183"/>
      <c r="V25" s="184"/>
      <c r="W25" s="185"/>
      <c r="X25" s="185"/>
      <c r="Y25" s="35">
        <v>9301</v>
      </c>
      <c r="Z25" s="35"/>
      <c r="AA25" s="35"/>
      <c r="AB25" s="19"/>
      <c r="AC25" s="159"/>
      <c r="AD25" s="132"/>
      <c r="AE25" s="34"/>
      <c r="AF25" s="34"/>
      <c r="AG25" s="34"/>
      <c r="AH25" s="22"/>
      <c r="AI25" s="160"/>
      <c r="AJ25" s="160"/>
      <c r="AK25" s="160"/>
      <c r="AL25" s="160"/>
      <c r="AM25" s="160"/>
      <c r="AN25" s="160"/>
      <c r="AO25" s="160"/>
      <c r="AP25" s="160"/>
      <c r="AQ25" s="160"/>
      <c r="AR25" s="22"/>
      <c r="AS25" s="22"/>
      <c r="AT25" s="22"/>
      <c r="AU25" s="22"/>
      <c r="AV25" s="160"/>
      <c r="AW25" s="160"/>
      <c r="AX25" s="160"/>
      <c r="AY25" s="160"/>
      <c r="AZ25" s="160"/>
      <c r="BA25" s="160"/>
      <c r="BB25" s="160"/>
      <c r="BC25" s="22"/>
      <c r="BD25" s="160"/>
      <c r="BE25" s="160"/>
      <c r="BF25" s="160"/>
      <c r="BG25" s="34"/>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row>
    <row r="26" spans="1:92" s="1" customFormat="1" ht="12.75">
      <c r="A26" s="70">
        <v>5</v>
      </c>
      <c r="B26" s="89" t="s">
        <v>157</v>
      </c>
      <c r="C26" s="210" t="s">
        <v>158</v>
      </c>
      <c r="D26" s="73" t="str">
        <f>P</f>
        <v>. . .</v>
      </c>
      <c r="E26" s="125">
        <v>0.03</v>
      </c>
      <c r="F26" s="163"/>
      <c r="G26" s="127"/>
      <c r="H26" s="128"/>
      <c r="I26" s="78" t="str">
        <f>R</f>
        <v>Réelle</v>
      </c>
      <c r="J26" s="78" t="s">
        <v>159</v>
      </c>
      <c r="K26" s="211">
        <v>0.03</v>
      </c>
      <c r="L26" s="164"/>
      <c r="M26" s="177" t="str">
        <f>"(9)"</f>
        <v>(9)</v>
      </c>
      <c r="N26" s="178"/>
      <c r="O26" s="179" t="str">
        <f>P</f>
        <v>. . .</v>
      </c>
      <c r="P26" s="113" t="str">
        <f>P</f>
        <v>. . .</v>
      </c>
      <c r="Q26" s="113" t="str">
        <f>VI</f>
        <v>(25)</v>
      </c>
      <c r="R26" s="193" t="str">
        <f>VI</f>
        <v>(25)</v>
      </c>
      <c r="S26" s="189"/>
      <c r="T26" s="9"/>
      <c r="U26" s="10"/>
      <c r="V26" s="11"/>
      <c r="W26" s="88" t="str">
        <f>t</f>
        <v>TVO</v>
      </c>
      <c r="X26" s="88"/>
      <c r="Y26" s="170"/>
      <c r="Z26" s="170"/>
      <c r="AA26" s="35"/>
      <c r="AB26" s="19"/>
      <c r="AC26" s="159"/>
      <c r="AD26" s="132"/>
      <c r="AE26" s="34"/>
      <c r="AF26" s="34"/>
      <c r="AG26" s="34"/>
      <c r="AH26" s="22"/>
      <c r="AI26" s="160"/>
      <c r="AJ26" s="160"/>
      <c r="AK26" s="160"/>
      <c r="AL26" s="160"/>
      <c r="AM26" s="160"/>
      <c r="AN26" s="160"/>
      <c r="AO26" s="160"/>
      <c r="AP26" s="160"/>
      <c r="AQ26" s="160"/>
      <c r="AR26" s="22"/>
      <c r="AS26" s="22"/>
      <c r="AT26" s="22"/>
      <c r="AU26" s="22"/>
      <c r="AV26" s="160"/>
      <c r="AW26" s="160"/>
      <c r="AX26" s="160"/>
      <c r="AY26" s="160"/>
      <c r="AZ26" s="160"/>
      <c r="BA26" s="160"/>
      <c r="BB26" s="160"/>
      <c r="BC26" s="22"/>
      <c r="BD26" s="160"/>
      <c r="BE26" s="160"/>
      <c r="BF26" s="160"/>
      <c r="BG26" s="34"/>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row>
    <row r="27" spans="1:92" s="1" customFormat="1" ht="12.75">
      <c r="A27" s="70">
        <v>6</v>
      </c>
      <c r="B27" s="89" t="s">
        <v>160</v>
      </c>
      <c r="C27" s="210" t="s">
        <v>161</v>
      </c>
      <c r="D27" s="73" t="str">
        <f>P</f>
        <v>. . .</v>
      </c>
      <c r="E27" s="125" t="s">
        <v>162</v>
      </c>
      <c r="F27" s="163"/>
      <c r="G27" s="127"/>
      <c r="H27" s="128"/>
      <c r="I27" s="78" t="str">
        <f>R</f>
        <v>Réelle</v>
      </c>
      <c r="J27" s="78" t="str">
        <f>P</f>
        <v>. . .</v>
      </c>
      <c r="K27" s="164" t="s">
        <v>163</v>
      </c>
      <c r="L27" s="164"/>
      <c r="M27" s="177" t="s">
        <v>164</v>
      </c>
      <c r="N27" s="178"/>
      <c r="O27" s="179" t="str">
        <f>P</f>
        <v>. . .</v>
      </c>
      <c r="P27" s="113" t="str">
        <f>P</f>
        <v>. . .</v>
      </c>
      <c r="Q27" s="113" t="str">
        <f>VI</f>
        <v>(25)</v>
      </c>
      <c r="R27" s="193" t="str">
        <f>VI</f>
        <v>(25)</v>
      </c>
      <c r="S27" s="199"/>
      <c r="T27" s="9"/>
      <c r="U27" s="10"/>
      <c r="V27" s="87"/>
      <c r="W27" s="88" t="str">
        <f>t</f>
        <v>TVO</v>
      </c>
      <c r="X27" s="88"/>
      <c r="Y27" s="170"/>
      <c r="Z27" s="170"/>
      <c r="AA27" s="170"/>
      <c r="AB27" s="19"/>
      <c r="AC27" s="159"/>
      <c r="AD27" s="132"/>
      <c r="AE27" s="34"/>
      <c r="AF27" s="34"/>
      <c r="AG27" s="34"/>
      <c r="AH27" s="22"/>
      <c r="AI27" s="160"/>
      <c r="AJ27" s="160"/>
      <c r="AK27" s="160"/>
      <c r="AL27" s="160"/>
      <c r="AM27" s="160"/>
      <c r="AN27" s="160"/>
      <c r="AO27" s="160"/>
      <c r="AP27" s="160"/>
      <c r="AQ27" s="160"/>
      <c r="AR27" s="22"/>
      <c r="AS27" s="22"/>
      <c r="AT27" s="22"/>
      <c r="AU27" s="22"/>
      <c r="AV27" s="160"/>
      <c r="AW27" s="160"/>
      <c r="AX27" s="160"/>
      <c r="AY27" s="160"/>
      <c r="AZ27" s="160"/>
      <c r="BA27" s="160"/>
      <c r="BB27" s="160"/>
      <c r="BC27" s="22"/>
      <c r="BD27" s="160"/>
      <c r="BE27" s="160"/>
      <c r="BF27" s="160"/>
      <c r="BG27" s="34"/>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row>
    <row r="28" spans="1:92" s="1" customFormat="1" ht="12.75">
      <c r="A28" s="70"/>
      <c r="B28" s="197"/>
      <c r="C28" s="213"/>
      <c r="D28" s="73"/>
      <c r="E28" s="125"/>
      <c r="F28" s="163"/>
      <c r="G28" s="127"/>
      <c r="H28" s="128"/>
      <c r="I28" s="78"/>
      <c r="J28" s="78"/>
      <c r="K28" s="164"/>
      <c r="L28" s="164"/>
      <c r="M28" s="177"/>
      <c r="N28" s="178"/>
      <c r="O28" s="179"/>
      <c r="P28" s="113"/>
      <c r="Q28" s="180"/>
      <c r="R28" s="181"/>
      <c r="S28" s="199"/>
      <c r="T28" s="182"/>
      <c r="U28" s="183"/>
      <c r="V28" s="184"/>
      <c r="W28" s="185"/>
      <c r="X28" s="185"/>
      <c r="Y28" s="35">
        <v>4004</v>
      </c>
      <c r="Z28" s="35">
        <v>9348</v>
      </c>
      <c r="AA28" s="170">
        <v>9301</v>
      </c>
      <c r="AB28" s="19"/>
      <c r="AC28" s="159"/>
      <c r="AD28" s="132"/>
      <c r="AE28" s="34"/>
      <c r="AF28" s="34"/>
      <c r="AG28" s="34"/>
      <c r="AH28" s="22"/>
      <c r="AI28" s="160"/>
      <c r="AJ28" s="160"/>
      <c r="AK28" s="160"/>
      <c r="AL28" s="160"/>
      <c r="AM28" s="160"/>
      <c r="AN28" s="160"/>
      <c r="AO28" s="160"/>
      <c r="AP28" s="160"/>
      <c r="AQ28" s="160"/>
      <c r="AR28" s="22"/>
      <c r="AS28" s="22"/>
      <c r="AT28" s="22"/>
      <c r="AU28" s="22"/>
      <c r="AV28" s="160"/>
      <c r="AW28" s="160"/>
      <c r="AX28" s="160"/>
      <c r="AY28" s="160"/>
      <c r="AZ28" s="160"/>
      <c r="BA28" s="160"/>
      <c r="BB28" s="160"/>
      <c r="BC28" s="22"/>
      <c r="BD28" s="160"/>
      <c r="BE28" s="160"/>
      <c r="BF28" s="160"/>
      <c r="BG28" s="34"/>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row>
    <row r="29" spans="1:92" s="1" customFormat="1" ht="12.75">
      <c r="A29" s="70"/>
      <c r="B29" s="197"/>
      <c r="C29" s="192" t="s">
        <v>165</v>
      </c>
      <c r="D29" s="73"/>
      <c r="E29" s="125"/>
      <c r="F29" s="163"/>
      <c r="G29" s="127"/>
      <c r="H29" s="128"/>
      <c r="I29" s="78"/>
      <c r="J29" s="78"/>
      <c r="K29" s="164"/>
      <c r="L29" s="164"/>
      <c r="M29" s="177"/>
      <c r="N29" s="178"/>
      <c r="O29" s="179"/>
      <c r="P29" s="113"/>
      <c r="Q29" s="180"/>
      <c r="R29" s="181"/>
      <c r="S29" s="189"/>
      <c r="T29" s="182"/>
      <c r="U29" s="183"/>
      <c r="V29" s="184"/>
      <c r="W29" s="185"/>
      <c r="X29" s="185"/>
      <c r="Y29" s="35">
        <v>9301</v>
      </c>
      <c r="Z29" s="35"/>
      <c r="AA29" s="35"/>
      <c r="AB29" s="19"/>
      <c r="AC29" s="159"/>
      <c r="AD29" s="132"/>
      <c r="AE29" s="34"/>
      <c r="AF29" s="34"/>
      <c r="AG29" s="34"/>
      <c r="AH29" s="22"/>
      <c r="AI29" s="160"/>
      <c r="AJ29" s="160"/>
      <c r="AK29" s="160"/>
      <c r="AL29" s="160"/>
      <c r="AM29" s="160"/>
      <c r="AN29" s="160"/>
      <c r="AO29" s="160"/>
      <c r="AP29" s="160"/>
      <c r="AQ29" s="160"/>
      <c r="AR29" s="22"/>
      <c r="AS29" s="22"/>
      <c r="AT29" s="22"/>
      <c r="AU29" s="22"/>
      <c r="AV29" s="160"/>
      <c r="AW29" s="160"/>
      <c r="AX29" s="160"/>
      <c r="AY29" s="160"/>
      <c r="AZ29" s="160"/>
      <c r="BA29" s="160"/>
      <c r="BB29" s="160"/>
      <c r="BC29" s="22"/>
      <c r="BD29" s="160"/>
      <c r="BE29" s="160"/>
      <c r="BF29" s="160"/>
      <c r="BG29" s="34"/>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row>
    <row r="30" spans="1:92" s="1" customFormat="1" ht="12.75">
      <c r="A30" s="70">
        <v>7</v>
      </c>
      <c r="B30" s="89" t="s">
        <v>166</v>
      </c>
      <c r="C30" s="210" t="s">
        <v>167</v>
      </c>
      <c r="D30" s="73" t="str">
        <f>P</f>
        <v>. . .</v>
      </c>
      <c r="E30" s="125">
        <v>0.03</v>
      </c>
      <c r="F30" s="163"/>
      <c r="G30" s="127"/>
      <c r="H30" s="128"/>
      <c r="I30" s="78" t="str">
        <f>R</f>
        <v>Réelle</v>
      </c>
      <c r="J30" s="78" t="s">
        <v>168</v>
      </c>
      <c r="K30" s="211">
        <v>0.03</v>
      </c>
      <c r="L30" s="164"/>
      <c r="M30" s="177" t="str">
        <f>"(9)"</f>
        <v>(9)</v>
      </c>
      <c r="N30" s="178"/>
      <c r="O30" s="179" t="str">
        <f>P</f>
        <v>. . .</v>
      </c>
      <c r="P30" s="113" t="str">
        <f>P</f>
        <v>. . .</v>
      </c>
      <c r="Q30" s="113" t="str">
        <f>VI</f>
        <v>(25)</v>
      </c>
      <c r="R30" s="193" t="str">
        <f>VI</f>
        <v>(25)</v>
      </c>
      <c r="S30" s="189"/>
      <c r="T30" s="9"/>
      <c r="U30" s="10"/>
      <c r="V30" s="11"/>
      <c r="W30" s="88" t="str">
        <f>t</f>
        <v>TVO</v>
      </c>
      <c r="X30" s="88"/>
      <c r="Y30" s="170"/>
      <c r="Z30" s="170"/>
      <c r="AA30" s="35"/>
      <c r="AB30" s="19"/>
      <c r="AC30" s="159"/>
      <c r="AD30" s="132"/>
      <c r="AE30" s="34"/>
      <c r="AF30" s="34"/>
      <c r="AG30" s="34"/>
      <c r="AH30" s="22"/>
      <c r="AI30" s="160"/>
      <c r="AJ30" s="160"/>
      <c r="AK30" s="160"/>
      <c r="AL30" s="160"/>
      <c r="AM30" s="160"/>
      <c r="AN30" s="160"/>
      <c r="AO30" s="160"/>
      <c r="AP30" s="160"/>
      <c r="AQ30" s="160"/>
      <c r="AR30" s="22"/>
      <c r="AS30" s="22"/>
      <c r="AT30" s="22"/>
      <c r="AU30" s="22"/>
      <c r="AV30" s="160"/>
      <c r="AW30" s="160"/>
      <c r="AX30" s="160"/>
      <c r="AY30" s="160"/>
      <c r="AZ30" s="160"/>
      <c r="BA30" s="160"/>
      <c r="BB30" s="160"/>
      <c r="BC30" s="22"/>
      <c r="BD30" s="160"/>
      <c r="BE30" s="160"/>
      <c r="BF30" s="160"/>
      <c r="BG30" s="34"/>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row>
    <row r="31" spans="1:92" s="1" customFormat="1" ht="12.75">
      <c r="A31" s="70">
        <v>8</v>
      </c>
      <c r="B31" s="89" t="s">
        <v>169</v>
      </c>
      <c r="C31" s="210" t="s">
        <v>170</v>
      </c>
      <c r="D31" s="73" t="str">
        <f>P</f>
        <v>. . .</v>
      </c>
      <c r="E31" s="125" t="s">
        <v>171</v>
      </c>
      <c r="F31" s="163"/>
      <c r="G31" s="127"/>
      <c r="H31" s="128"/>
      <c r="I31" s="78" t="str">
        <f>R</f>
        <v>Réelle</v>
      </c>
      <c r="J31" s="78" t="str">
        <f>P</f>
        <v>. . .</v>
      </c>
      <c r="K31" s="164" t="s">
        <v>172</v>
      </c>
      <c r="L31" s="164"/>
      <c r="M31" s="177" t="s">
        <v>173</v>
      </c>
      <c r="N31" s="178"/>
      <c r="O31" s="179" t="str">
        <f>P</f>
        <v>. . .</v>
      </c>
      <c r="P31" s="113" t="str">
        <f>P</f>
        <v>. . .</v>
      </c>
      <c r="Q31" s="113" t="str">
        <f>VI</f>
        <v>(25)</v>
      </c>
      <c r="R31" s="193" t="str">
        <f>VI</f>
        <v>(25)</v>
      </c>
      <c r="S31" s="199"/>
      <c r="T31" s="9"/>
      <c r="U31" s="10"/>
      <c r="V31" s="87"/>
      <c r="W31" s="88" t="str">
        <f>t</f>
        <v>TVO</v>
      </c>
      <c r="X31" s="88"/>
      <c r="Y31" s="170"/>
      <c r="Z31" s="170"/>
      <c r="AA31" s="170"/>
      <c r="AB31" s="19"/>
      <c r="AC31" s="159"/>
      <c r="AD31" s="132"/>
      <c r="AE31" s="34"/>
      <c r="AF31" s="34"/>
      <c r="AG31" s="34"/>
      <c r="AH31" s="22"/>
      <c r="AI31" s="160"/>
      <c r="AJ31" s="160"/>
      <c r="AK31" s="160"/>
      <c r="AL31" s="160"/>
      <c r="AM31" s="160"/>
      <c r="AN31" s="160"/>
      <c r="AO31" s="160"/>
      <c r="AP31" s="160"/>
      <c r="AQ31" s="160"/>
      <c r="AR31" s="22"/>
      <c r="AS31" s="22"/>
      <c r="AT31" s="22"/>
      <c r="AU31" s="22"/>
      <c r="AV31" s="160"/>
      <c r="AW31" s="160"/>
      <c r="AX31" s="160"/>
      <c r="AY31" s="160"/>
      <c r="AZ31" s="160"/>
      <c r="BA31" s="160"/>
      <c r="BB31" s="160"/>
      <c r="BC31" s="22"/>
      <c r="BD31" s="160"/>
      <c r="BE31" s="160"/>
      <c r="BF31" s="160"/>
      <c r="BG31" s="34"/>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row>
    <row r="32" spans="1:92" s="1" customFormat="1" ht="12.75">
      <c r="A32" s="70"/>
      <c r="B32" s="197"/>
      <c r="C32" s="210"/>
      <c r="D32" s="73"/>
      <c r="E32" s="125"/>
      <c r="F32" s="163"/>
      <c r="G32" s="127"/>
      <c r="H32" s="128"/>
      <c r="I32" s="78"/>
      <c r="J32" s="78"/>
      <c r="K32" s="164"/>
      <c r="L32" s="164"/>
      <c r="M32" s="177"/>
      <c r="N32" s="178"/>
      <c r="O32" s="179"/>
      <c r="P32" s="113"/>
      <c r="Q32" s="180"/>
      <c r="R32" s="181"/>
      <c r="S32" s="199"/>
      <c r="T32" s="182"/>
      <c r="U32" s="183"/>
      <c r="V32" s="184"/>
      <c r="W32" s="185"/>
      <c r="X32" s="185"/>
      <c r="Y32" s="170"/>
      <c r="Z32" s="170"/>
      <c r="AA32" s="170"/>
      <c r="AB32" s="19"/>
      <c r="AC32" s="159"/>
      <c r="AD32" s="132"/>
      <c r="AE32" s="34"/>
      <c r="AF32" s="34"/>
      <c r="AG32" s="34"/>
      <c r="AH32" s="22"/>
      <c r="AI32" s="160"/>
      <c r="AJ32" s="160"/>
      <c r="AK32" s="160"/>
      <c r="AL32" s="160"/>
      <c r="AM32" s="160"/>
      <c r="AN32" s="160"/>
      <c r="AO32" s="160"/>
      <c r="AP32" s="160"/>
      <c r="AQ32" s="160"/>
      <c r="AR32" s="22"/>
      <c r="AS32" s="22"/>
      <c r="AT32" s="22"/>
      <c r="AU32" s="22"/>
      <c r="AV32" s="160"/>
      <c r="AW32" s="160"/>
      <c r="AX32" s="160"/>
      <c r="AY32" s="160"/>
      <c r="AZ32" s="160"/>
      <c r="BA32" s="160"/>
      <c r="BB32" s="160"/>
      <c r="BC32" s="22"/>
      <c r="BD32" s="160"/>
      <c r="BE32" s="160"/>
      <c r="BF32" s="160"/>
      <c r="BG32" s="34"/>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row>
    <row r="33" spans="1:92" s="1" customFormat="1" ht="12.75">
      <c r="A33" s="70"/>
      <c r="B33" s="197"/>
      <c r="C33" s="210"/>
      <c r="D33" s="73"/>
      <c r="E33" s="125"/>
      <c r="F33" s="163"/>
      <c r="G33" s="127"/>
      <c r="H33" s="128"/>
      <c r="I33" s="78"/>
      <c r="J33" s="78"/>
      <c r="K33" s="164"/>
      <c r="L33" s="164"/>
      <c r="M33" s="177"/>
      <c r="N33" s="178"/>
      <c r="O33" s="179"/>
      <c r="P33" s="113"/>
      <c r="Q33" s="180"/>
      <c r="R33" s="181"/>
      <c r="S33" s="189"/>
      <c r="T33" s="182"/>
      <c r="U33" s="183"/>
      <c r="V33" s="184"/>
      <c r="W33" s="185"/>
      <c r="X33" s="185"/>
      <c r="Y33" s="170"/>
      <c r="Z33" s="170"/>
      <c r="AA33" s="170"/>
      <c r="AB33" s="19"/>
      <c r="AC33" s="159"/>
      <c r="AD33" s="132"/>
      <c r="AE33" s="34"/>
      <c r="AF33" s="34"/>
      <c r="AG33" s="34"/>
      <c r="AH33" s="22"/>
      <c r="AI33" s="160"/>
      <c r="AJ33" s="160"/>
      <c r="AK33" s="160"/>
      <c r="AL33" s="160"/>
      <c r="AM33" s="160"/>
      <c r="AN33" s="160"/>
      <c r="AO33" s="160"/>
      <c r="AP33" s="160"/>
      <c r="AQ33" s="160"/>
      <c r="AR33" s="22"/>
      <c r="AS33" s="22"/>
      <c r="AT33" s="22"/>
      <c r="AU33" s="22"/>
      <c r="AV33" s="160"/>
      <c r="AW33" s="160"/>
      <c r="AX33" s="160"/>
      <c r="AY33" s="160"/>
      <c r="AZ33" s="160"/>
      <c r="BA33" s="160"/>
      <c r="BB33" s="160"/>
      <c r="BC33" s="22"/>
      <c r="BD33" s="160"/>
      <c r="BE33" s="160"/>
      <c r="BF33" s="160"/>
      <c r="BG33" s="34"/>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row>
    <row r="34" spans="1:92" s="1" customFormat="1" ht="18.75">
      <c r="A34" s="70"/>
      <c r="B34" s="197"/>
      <c r="C34" s="214" t="s">
        <v>174</v>
      </c>
      <c r="D34" s="73"/>
      <c r="E34" s="125"/>
      <c r="F34" s="163"/>
      <c r="G34" s="127"/>
      <c r="H34" s="128"/>
      <c r="I34" s="78"/>
      <c r="J34" s="78"/>
      <c r="K34" s="164"/>
      <c r="L34" s="164"/>
      <c r="M34" s="177"/>
      <c r="N34" s="178"/>
      <c r="O34" s="179"/>
      <c r="P34" s="113"/>
      <c r="Q34" s="180"/>
      <c r="R34" s="181"/>
      <c r="S34" s="189"/>
      <c r="T34" s="182"/>
      <c r="U34" s="183"/>
      <c r="V34" s="184"/>
      <c r="W34" s="185"/>
      <c r="X34" s="185"/>
      <c r="Y34" s="170"/>
      <c r="Z34" s="170"/>
      <c r="AA34" s="170"/>
      <c r="AB34" s="19"/>
      <c r="AC34" s="159"/>
      <c r="AD34" s="132"/>
      <c r="AE34" s="34"/>
      <c r="AF34" s="34"/>
      <c r="AG34" s="34"/>
      <c r="AH34" s="22"/>
      <c r="AI34" s="160"/>
      <c r="AJ34" s="160"/>
      <c r="AK34" s="160"/>
      <c r="AL34" s="160"/>
      <c r="AM34" s="160"/>
      <c r="AN34" s="160"/>
      <c r="AO34" s="160"/>
      <c r="AP34" s="160"/>
      <c r="AQ34" s="160"/>
      <c r="AR34" s="22"/>
      <c r="AS34" s="22"/>
      <c r="AT34" s="22"/>
      <c r="AU34" s="22"/>
      <c r="AV34" s="160"/>
      <c r="AW34" s="160"/>
      <c r="AX34" s="160"/>
      <c r="AY34" s="160"/>
      <c r="AZ34" s="160"/>
      <c r="BA34" s="160"/>
      <c r="BB34" s="160"/>
      <c r="BC34" s="22"/>
      <c r="BD34" s="160"/>
      <c r="BE34" s="160"/>
      <c r="BF34" s="160"/>
      <c r="BG34" s="34"/>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row>
    <row r="35" spans="1:92" s="1" customFormat="1" ht="12.75">
      <c r="A35" s="70"/>
      <c r="B35" s="197"/>
      <c r="C35" s="215"/>
      <c r="D35" s="73"/>
      <c r="E35" s="125"/>
      <c r="F35" s="163"/>
      <c r="G35" s="127"/>
      <c r="H35" s="128"/>
      <c r="I35" s="78"/>
      <c r="J35" s="78"/>
      <c r="K35" s="164"/>
      <c r="L35" s="164"/>
      <c r="M35" s="177"/>
      <c r="N35" s="178"/>
      <c r="O35" s="179"/>
      <c r="P35" s="113"/>
      <c r="Q35" s="180"/>
      <c r="R35" s="181"/>
      <c r="S35" s="189"/>
      <c r="T35" s="182"/>
      <c r="U35" s="183"/>
      <c r="V35" s="184"/>
      <c r="W35" s="185"/>
      <c r="X35" s="185"/>
      <c r="Y35" s="18">
        <v>9348</v>
      </c>
      <c r="Z35" s="18">
        <v>9301</v>
      </c>
      <c r="AA35" s="170"/>
      <c r="AB35" s="19"/>
      <c r="AC35" s="159"/>
      <c r="AD35" s="132"/>
      <c r="AE35" s="34"/>
      <c r="AF35" s="34"/>
      <c r="AG35" s="34"/>
      <c r="AH35" s="22"/>
      <c r="AI35" s="160"/>
      <c r="AJ35" s="160"/>
      <c r="AK35" s="160"/>
      <c r="AL35" s="160"/>
      <c r="AM35" s="160"/>
      <c r="AN35" s="160"/>
      <c r="AO35" s="160"/>
      <c r="AP35" s="160"/>
      <c r="AQ35" s="160"/>
      <c r="AR35" s="160"/>
      <c r="AS35" s="160"/>
      <c r="AT35" s="160"/>
      <c r="AU35" s="160"/>
      <c r="AV35" s="160"/>
      <c r="AW35" s="160"/>
      <c r="AX35" s="160"/>
      <c r="AY35" s="160"/>
      <c r="AZ35" s="160"/>
      <c r="BA35" s="160"/>
      <c r="BB35" s="160"/>
      <c r="BC35" s="22"/>
      <c r="BD35" s="160"/>
      <c r="BE35" s="160"/>
      <c r="BF35" s="160"/>
      <c r="BG35" s="34"/>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row>
    <row r="36" spans="1:92" s="1" customFormat="1" ht="12.75">
      <c r="A36" s="70"/>
      <c r="B36" s="89"/>
      <c r="C36" s="216" t="s">
        <v>175</v>
      </c>
      <c r="D36" s="73"/>
      <c r="E36" s="125"/>
      <c r="F36" s="163"/>
      <c r="G36" s="127"/>
      <c r="H36" s="128"/>
      <c r="I36" s="78"/>
      <c r="J36" s="78"/>
      <c r="K36" s="164"/>
      <c r="L36" s="164"/>
      <c r="M36" s="177"/>
      <c r="N36" s="178"/>
      <c r="O36" s="179"/>
      <c r="P36" s="180"/>
      <c r="Q36" s="168"/>
      <c r="R36" s="169"/>
      <c r="S36" s="189"/>
      <c r="T36" s="182"/>
      <c r="U36" s="183"/>
      <c r="V36" s="184"/>
      <c r="W36" s="185"/>
      <c r="X36" s="185"/>
      <c r="Y36" s="170">
        <v>9348</v>
      </c>
      <c r="Z36" s="170">
        <v>9301</v>
      </c>
      <c r="AA36" s="18"/>
      <c r="AB36" s="19"/>
      <c r="AC36" s="159"/>
      <c r="AD36" s="132"/>
      <c r="AE36" s="34"/>
      <c r="AF36" s="34"/>
      <c r="AG36" s="34"/>
      <c r="AH36" s="22"/>
      <c r="AI36" s="160"/>
      <c r="AJ36" s="160"/>
      <c r="AK36" s="160"/>
      <c r="AL36" s="160"/>
      <c r="AM36" s="160"/>
      <c r="AN36" s="160"/>
      <c r="AO36" s="160"/>
      <c r="AP36" s="160"/>
      <c r="AQ36" s="160"/>
      <c r="AR36" s="160"/>
      <c r="AS36" s="160"/>
      <c r="AT36" s="160"/>
      <c r="AU36" s="160"/>
      <c r="AV36" s="160"/>
      <c r="AW36" s="160"/>
      <c r="AX36" s="160"/>
      <c r="AY36" s="160"/>
      <c r="AZ36" s="160"/>
      <c r="BA36" s="160"/>
      <c r="BB36" s="160"/>
      <c r="BC36" s="22"/>
      <c r="BD36" s="160"/>
      <c r="BE36" s="160"/>
      <c r="BF36" s="160"/>
      <c r="BG36" s="34"/>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row>
    <row r="37" spans="1:92" s="1" customFormat="1" ht="12.75">
      <c r="A37" s="70">
        <v>9</v>
      </c>
      <c r="B37" s="89" t="s">
        <v>176</v>
      </c>
      <c r="C37" s="216" t="s">
        <v>177</v>
      </c>
      <c r="D37" s="78" t="str">
        <f>P</f>
        <v>. . .</v>
      </c>
      <c r="E37" s="125">
        <f>TEC2707</f>
        <v>0</v>
      </c>
      <c r="F37" s="163"/>
      <c r="G37" s="217"/>
      <c r="H37" s="71"/>
      <c r="I37" s="78">
        <f>vfspb</f>
        <v>26.26</v>
      </c>
      <c r="J37" s="78" t="s">
        <v>178</v>
      </c>
      <c r="K37" s="218">
        <f>ROUND(I37*TEC2707,2)</f>
        <v>0.79</v>
      </c>
      <c r="L37" s="163"/>
      <c r="M37" s="177">
        <f>TISP</f>
        <v>58.92</v>
      </c>
      <c r="N37" s="178"/>
      <c r="O37" s="179" t="str">
        <f aca="true" t="shared" si="0" ref="O37:P39">P</f>
        <v>. . .</v>
      </c>
      <c r="P37" s="113" t="str">
        <f t="shared" si="0"/>
        <v>. . .</v>
      </c>
      <c r="Q37" s="180">
        <f>TVAcondM</f>
        <v>16.69528</v>
      </c>
      <c r="R37" s="181">
        <f>TVAcondC</f>
        <v>11.073400000000001</v>
      </c>
      <c r="S37" s="189"/>
      <c r="T37" s="58">
        <v>5734</v>
      </c>
      <c r="U37" s="59"/>
      <c r="V37" s="11"/>
      <c r="W37" s="219">
        <v>5903</v>
      </c>
      <c r="X37" s="219"/>
      <c r="Y37" s="170">
        <v>9301</v>
      </c>
      <c r="Z37" s="170"/>
      <c r="AA37" s="170"/>
      <c r="AB37" s="19"/>
      <c r="AC37" s="159"/>
      <c r="AD37" s="132"/>
      <c r="AE37" s="34"/>
      <c r="AF37" s="34"/>
      <c r="AG37" s="34"/>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22"/>
      <c r="BD37" s="160"/>
      <c r="BE37" s="160"/>
      <c r="BF37" s="160"/>
      <c r="BG37" s="34"/>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row>
    <row r="38" spans="1:92" s="1" customFormat="1" ht="12.75">
      <c r="A38" s="70">
        <v>10</v>
      </c>
      <c r="B38" s="89" t="s">
        <v>179</v>
      </c>
      <c r="C38" s="216" t="s">
        <v>180</v>
      </c>
      <c r="D38" s="78" t="str">
        <f>P</f>
        <v>. . .</v>
      </c>
      <c r="E38" s="125">
        <f>TEC2707</f>
        <v>0</v>
      </c>
      <c r="F38" s="163"/>
      <c r="G38" s="217"/>
      <c r="H38" s="71"/>
      <c r="I38" s="78">
        <f>VFGO</f>
        <v>32.04</v>
      </c>
      <c r="J38" s="78" t="s">
        <v>181</v>
      </c>
      <c r="K38" s="218">
        <f>ROUND(I38*TEC2707,2)</f>
        <v>0.96</v>
      </c>
      <c r="L38" s="163"/>
      <c r="M38" s="220">
        <f>TIGO</f>
        <v>41.69</v>
      </c>
      <c r="N38" s="178"/>
      <c r="O38" s="179" t="str">
        <f t="shared" si="0"/>
        <v>. . .</v>
      </c>
      <c r="P38" s="113" t="str">
        <f t="shared" si="0"/>
        <v>. . .</v>
      </c>
      <c r="Q38" s="180">
        <f>TVAGOMETRO</f>
        <v>14.45108</v>
      </c>
      <c r="R38" s="221">
        <f>TVAGOCORSE</f>
        <v>9.5849</v>
      </c>
      <c r="S38" s="57"/>
      <c r="T38" s="182">
        <v>5731</v>
      </c>
      <c r="U38" s="183"/>
      <c r="V38" s="11"/>
      <c r="W38" s="190">
        <v>5938</v>
      </c>
      <c r="X38" s="190"/>
      <c r="Y38" s="18"/>
      <c r="Z38" s="18"/>
      <c r="AA38" s="170"/>
      <c r="AB38" s="19"/>
      <c r="AC38" s="159"/>
      <c r="AD38" s="132"/>
      <c r="AE38" s="34"/>
      <c r="AF38" s="34"/>
      <c r="AG38" s="34"/>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22"/>
      <c r="BD38" s="160"/>
      <c r="BE38" s="160"/>
      <c r="BF38" s="160"/>
      <c r="BG38" s="34"/>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row>
    <row r="39" spans="1:92" s="1" customFormat="1" ht="12.75">
      <c r="A39" s="222">
        <v>11</v>
      </c>
      <c r="B39" s="223" t="s">
        <v>182</v>
      </c>
      <c r="C39" s="224" t="s">
        <v>183</v>
      </c>
      <c r="D39" s="225" t="str">
        <f>P</f>
        <v>. . .</v>
      </c>
      <c r="E39" s="226" t="s">
        <v>184</v>
      </c>
      <c r="F39" s="227"/>
      <c r="G39" s="228"/>
      <c r="H39" s="229"/>
      <c r="I39" s="230" t="str">
        <f>R</f>
        <v>Réelle</v>
      </c>
      <c r="J39" s="230" t="str">
        <f>P</f>
        <v>. . .</v>
      </c>
      <c r="K39" s="231" t="s">
        <v>185</v>
      </c>
      <c r="L39" s="231"/>
      <c r="M39" s="232" t="s">
        <v>186</v>
      </c>
      <c r="N39" s="233"/>
      <c r="O39" s="234" t="str">
        <f t="shared" si="0"/>
        <v>. . .</v>
      </c>
      <c r="P39" s="235" t="str">
        <f t="shared" si="0"/>
        <v>. . .</v>
      </c>
      <c r="Q39" s="235" t="str">
        <f>VI</f>
        <v>(25)</v>
      </c>
      <c r="R39" s="236" t="str">
        <f>VI</f>
        <v>(25)</v>
      </c>
      <c r="S39" s="189"/>
      <c r="T39" s="9"/>
      <c r="U39" s="10"/>
      <c r="V39" s="184"/>
      <c r="W39" s="185" t="str">
        <f>t</f>
        <v>TVO</v>
      </c>
      <c r="X39" s="185"/>
      <c r="Y39" s="170"/>
      <c r="Z39" s="170"/>
      <c r="AA39" s="18"/>
      <c r="AB39" s="237"/>
      <c r="AC39" s="159"/>
      <c r="AD39" s="132"/>
      <c r="AE39" s="34"/>
      <c r="AF39" s="34"/>
      <c r="AG39" s="34"/>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22"/>
      <c r="BD39" s="160"/>
      <c r="BE39" s="160"/>
      <c r="BF39" s="160"/>
      <c r="BG39" s="34"/>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row>
    <row r="40" spans="1:92" s="1" customFormat="1" ht="12.75">
      <c r="A40" s="238"/>
      <c r="B40" s="239"/>
      <c r="C40" s="240" t="s">
        <v>187</v>
      </c>
      <c r="D40" s="241"/>
      <c r="E40" s="242"/>
      <c r="F40" s="243"/>
      <c r="G40" s="94"/>
      <c r="H40" s="95"/>
      <c r="I40" s="244"/>
      <c r="J40" s="244"/>
      <c r="K40" s="245"/>
      <c r="L40" s="245"/>
      <c r="M40" s="246"/>
      <c r="N40" s="247"/>
      <c r="O40" s="248"/>
      <c r="P40" s="249"/>
      <c r="Q40" s="168"/>
      <c r="R40" s="169"/>
      <c r="S40" s="189"/>
      <c r="T40" s="58"/>
      <c r="U40" s="59"/>
      <c r="V40" s="60"/>
      <c r="W40" s="61"/>
      <c r="X40" s="61"/>
      <c r="Y40" s="170">
        <v>4004</v>
      </c>
      <c r="Z40" s="170"/>
      <c r="AA40" s="170"/>
      <c r="AB40" s="19"/>
      <c r="AC40" s="159"/>
      <c r="AD40" s="132"/>
      <c r="AE40" s="34"/>
      <c r="AF40" s="34"/>
      <c r="AG40" s="34"/>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22"/>
      <c r="BD40" s="160"/>
      <c r="BE40" s="160"/>
      <c r="BF40" s="160"/>
      <c r="BG40" s="34"/>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row>
    <row r="41" spans="1:92" s="1" customFormat="1" ht="12.75">
      <c r="A41" s="70"/>
      <c r="B41" s="89"/>
      <c r="C41" s="210" t="s">
        <v>188</v>
      </c>
      <c r="D41" s="73"/>
      <c r="E41" s="125"/>
      <c r="F41" s="163"/>
      <c r="G41" s="127"/>
      <c r="H41" s="128"/>
      <c r="I41" s="113"/>
      <c r="J41" s="78"/>
      <c r="K41" s="250"/>
      <c r="L41" s="164"/>
      <c r="M41" s="177"/>
      <c r="N41" s="178"/>
      <c r="O41" s="179"/>
      <c r="P41" s="251"/>
      <c r="Q41" s="180"/>
      <c r="R41" s="181"/>
      <c r="S41" s="57"/>
      <c r="T41" s="182"/>
      <c r="U41" s="183"/>
      <c r="V41" s="184"/>
      <c r="W41" s="185"/>
      <c r="X41" s="185"/>
      <c r="Y41" s="170">
        <v>9348</v>
      </c>
      <c r="Z41" s="170"/>
      <c r="AA41" s="170"/>
      <c r="AB41" s="19"/>
      <c r="AC41" s="159"/>
      <c r="AD41" s="132"/>
      <c r="AE41" s="34"/>
      <c r="AF41" s="34"/>
      <c r="AG41" s="34"/>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22"/>
      <c r="BD41" s="160"/>
      <c r="BE41" s="160"/>
      <c r="BF41" s="160"/>
      <c r="BG41" s="34"/>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row>
    <row r="42" spans="1:92" s="1" customFormat="1" ht="12.75">
      <c r="A42" s="70">
        <v>12</v>
      </c>
      <c r="B42" s="89" t="s">
        <v>189</v>
      </c>
      <c r="C42" s="216" t="s">
        <v>190</v>
      </c>
      <c r="D42" s="73" t="str">
        <f>P</f>
        <v>. . .</v>
      </c>
      <c r="E42" s="125">
        <v>0.017</v>
      </c>
      <c r="F42" s="163"/>
      <c r="G42" s="127"/>
      <c r="H42" s="128"/>
      <c r="I42" s="113" t="str">
        <f>R</f>
        <v>Réelle</v>
      </c>
      <c r="J42" s="78" t="s">
        <v>191</v>
      </c>
      <c r="K42" s="252">
        <v>0.017</v>
      </c>
      <c r="L42" s="164"/>
      <c r="M42" s="177" t="str">
        <f>"(9)"</f>
        <v>(9)</v>
      </c>
      <c r="N42" s="178"/>
      <c r="O42" s="113" t="s">
        <v>192</v>
      </c>
      <c r="P42" s="251" t="s">
        <v>193</v>
      </c>
      <c r="Q42" s="113" t="str">
        <f>VI</f>
        <v>(25)</v>
      </c>
      <c r="R42" s="193" t="str">
        <f>VI</f>
        <v>(25)</v>
      </c>
      <c r="S42" s="189"/>
      <c r="T42" s="9"/>
      <c r="U42" s="10"/>
      <c r="V42" s="11"/>
      <c r="W42" s="185" t="str">
        <f>t</f>
        <v>TVO</v>
      </c>
      <c r="X42" s="185"/>
      <c r="Y42" s="35"/>
      <c r="Z42" s="35"/>
      <c r="AA42" s="170"/>
      <c r="AB42" s="19"/>
      <c r="AC42" s="159"/>
      <c r="AD42" s="132"/>
      <c r="AE42" s="34"/>
      <c r="AF42" s="34"/>
      <c r="AG42" s="34"/>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22"/>
      <c r="BD42" s="160"/>
      <c r="BE42" s="160"/>
      <c r="BF42" s="160"/>
      <c r="BG42" s="34"/>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row>
    <row r="43" spans="1:92" s="1" customFormat="1" ht="12.75">
      <c r="A43" s="70">
        <v>13</v>
      </c>
      <c r="B43" s="89" t="s">
        <v>194</v>
      </c>
      <c r="C43" s="216" t="s">
        <v>195</v>
      </c>
      <c r="D43" s="73" t="s">
        <v>196</v>
      </c>
      <c r="E43" s="125">
        <v>0.017</v>
      </c>
      <c r="F43" s="163"/>
      <c r="G43" s="127"/>
      <c r="H43" s="128"/>
      <c r="I43" s="113" t="str">
        <f>R</f>
        <v>Réelle</v>
      </c>
      <c r="J43" s="78" t="str">
        <f>P</f>
        <v>. . .</v>
      </c>
      <c r="K43" s="252">
        <v>0.017</v>
      </c>
      <c r="L43" s="164"/>
      <c r="M43" s="177" t="s">
        <v>197</v>
      </c>
      <c r="N43" s="178"/>
      <c r="O43" s="113" t="s">
        <v>198</v>
      </c>
      <c r="P43" s="251" t="s">
        <v>199</v>
      </c>
      <c r="Q43" s="113" t="str">
        <f>VI</f>
        <v>(25)</v>
      </c>
      <c r="R43" s="193" t="str">
        <f>VI</f>
        <v>(25)</v>
      </c>
      <c r="S43" s="189"/>
      <c r="T43" s="9"/>
      <c r="U43" s="10"/>
      <c r="V43" s="11"/>
      <c r="W43" s="185" t="str">
        <f>t</f>
        <v>TVO</v>
      </c>
      <c r="X43" s="185"/>
      <c r="Y43" s="35"/>
      <c r="Z43" s="35"/>
      <c r="AA43" s="35"/>
      <c r="AB43" s="19"/>
      <c r="AC43" s="159"/>
      <c r="AD43" s="132"/>
      <c r="AE43" s="34"/>
      <c r="AF43" s="34"/>
      <c r="AG43" s="34"/>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22"/>
      <c r="BD43" s="160"/>
      <c r="BE43" s="160"/>
      <c r="BF43" s="160"/>
      <c r="BG43" s="34"/>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row>
    <row r="44" spans="1:92" s="1" customFormat="1" ht="12.75">
      <c r="A44" s="70"/>
      <c r="B44" s="89"/>
      <c r="C44" s="210" t="s">
        <v>200</v>
      </c>
      <c r="D44" s="73"/>
      <c r="E44" s="125"/>
      <c r="F44" s="163"/>
      <c r="G44" s="127"/>
      <c r="H44" s="128"/>
      <c r="I44" s="113"/>
      <c r="J44" s="78"/>
      <c r="K44" s="250"/>
      <c r="L44" s="164"/>
      <c r="M44" s="177"/>
      <c r="N44" s="178"/>
      <c r="O44" s="179"/>
      <c r="P44" s="251"/>
      <c r="Q44" s="180"/>
      <c r="R44" s="181"/>
      <c r="S44" s="189"/>
      <c r="T44" s="85"/>
      <c r="U44" s="86"/>
      <c r="V44" s="87"/>
      <c r="W44" s="88"/>
      <c r="X44" s="88"/>
      <c r="Y44" s="170"/>
      <c r="Z44" s="170"/>
      <c r="AA44" s="35"/>
      <c r="AB44" s="19"/>
      <c r="AC44" s="159"/>
      <c r="AD44" s="132"/>
      <c r="AE44" s="34"/>
      <c r="AF44" s="34"/>
      <c r="AG44" s="34"/>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22"/>
      <c r="BD44" s="160"/>
      <c r="BE44" s="160"/>
      <c r="BF44" s="160"/>
      <c r="BG44" s="34"/>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row>
    <row r="45" spans="1:92" s="1" customFormat="1" ht="12.75">
      <c r="A45" s="70"/>
      <c r="B45" s="89"/>
      <c r="C45" s="216" t="s">
        <v>201</v>
      </c>
      <c r="D45" s="73"/>
      <c r="E45" s="125"/>
      <c r="F45" s="163"/>
      <c r="G45" s="127"/>
      <c r="H45" s="128"/>
      <c r="I45" s="113"/>
      <c r="J45" s="78"/>
      <c r="K45" s="250"/>
      <c r="L45" s="164"/>
      <c r="M45" s="177"/>
      <c r="N45" s="178"/>
      <c r="O45" s="179"/>
      <c r="P45" s="251"/>
      <c r="Q45" s="180"/>
      <c r="R45" s="181"/>
      <c r="S45" s="199"/>
      <c r="T45" s="85"/>
      <c r="U45" s="86"/>
      <c r="V45" s="87"/>
      <c r="W45" s="88"/>
      <c r="X45" s="88"/>
      <c r="Y45" s="170"/>
      <c r="Z45" s="170"/>
      <c r="AA45" s="170"/>
      <c r="AB45" s="19"/>
      <c r="AC45" s="159"/>
      <c r="AD45" s="132"/>
      <c r="AE45" s="34"/>
      <c r="AF45" s="34"/>
      <c r="AG45" s="34"/>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22"/>
      <c r="BD45" s="160"/>
      <c r="BE45" s="160"/>
      <c r="BF45" s="160"/>
      <c r="BG45" s="34"/>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row>
    <row r="46" spans="1:92" s="1" customFormat="1" ht="12.75">
      <c r="A46" s="70"/>
      <c r="B46" s="89"/>
      <c r="C46" s="210" t="s">
        <v>202</v>
      </c>
      <c r="D46" s="73"/>
      <c r="E46" s="125"/>
      <c r="F46" s="163"/>
      <c r="G46" s="127"/>
      <c r="H46" s="128"/>
      <c r="I46" s="113"/>
      <c r="J46" s="78"/>
      <c r="K46" s="250"/>
      <c r="L46" s="164"/>
      <c r="M46" s="177"/>
      <c r="N46" s="178"/>
      <c r="O46" s="179"/>
      <c r="P46" s="251"/>
      <c r="Q46" s="180"/>
      <c r="R46" s="181"/>
      <c r="S46" s="199"/>
      <c r="T46" s="182"/>
      <c r="U46" s="183"/>
      <c r="V46" s="184"/>
      <c r="W46" s="185"/>
      <c r="X46" s="185"/>
      <c r="Y46" s="170"/>
      <c r="Z46" s="170"/>
      <c r="AA46" s="170"/>
      <c r="AB46" s="19"/>
      <c r="AC46" s="159"/>
      <c r="AD46" s="132"/>
      <c r="AE46" s="34"/>
      <c r="AF46" s="34"/>
      <c r="AG46" s="34"/>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22"/>
      <c r="BD46" s="160"/>
      <c r="BE46" s="160"/>
      <c r="BF46" s="160"/>
      <c r="BG46" s="34"/>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row>
    <row r="47" spans="1:92" s="1" customFormat="1" ht="12.75">
      <c r="A47" s="70"/>
      <c r="B47" s="253"/>
      <c r="C47" s="210" t="s">
        <v>203</v>
      </c>
      <c r="D47" s="73"/>
      <c r="E47" s="125"/>
      <c r="F47" s="163"/>
      <c r="G47" s="127"/>
      <c r="H47" s="128"/>
      <c r="I47" s="113"/>
      <c r="J47" s="78"/>
      <c r="K47" s="250"/>
      <c r="L47" s="164"/>
      <c r="M47" s="177"/>
      <c r="N47" s="178"/>
      <c r="O47" s="179"/>
      <c r="P47" s="251"/>
      <c r="Q47" s="180"/>
      <c r="R47" s="181"/>
      <c r="S47" s="189"/>
      <c r="T47" s="182"/>
      <c r="U47" s="183"/>
      <c r="V47" s="184"/>
      <c r="W47" s="185"/>
      <c r="X47" s="185"/>
      <c r="Y47" s="170">
        <v>4004</v>
      </c>
      <c r="Z47" s="170"/>
      <c r="AA47" s="170"/>
      <c r="AB47" s="19"/>
      <c r="AC47" s="159"/>
      <c r="AD47" s="132"/>
      <c r="AE47" s="34"/>
      <c r="AF47" s="34"/>
      <c r="AG47" s="34"/>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22"/>
      <c r="BD47" s="160"/>
      <c r="BE47" s="160"/>
      <c r="BF47" s="160"/>
      <c r="BG47" s="34"/>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row>
    <row r="48" spans="1:92" s="1" customFormat="1" ht="12.75">
      <c r="A48" s="70"/>
      <c r="B48" s="253"/>
      <c r="C48" s="216" t="s">
        <v>204</v>
      </c>
      <c r="D48" s="73"/>
      <c r="E48" s="125"/>
      <c r="F48" s="163"/>
      <c r="G48" s="127"/>
      <c r="H48" s="128"/>
      <c r="I48" s="113"/>
      <c r="J48" s="78"/>
      <c r="K48" s="250"/>
      <c r="L48" s="164"/>
      <c r="M48" s="177"/>
      <c r="N48" s="178"/>
      <c r="O48" s="179"/>
      <c r="P48" s="251"/>
      <c r="Q48" s="180"/>
      <c r="R48" s="181"/>
      <c r="S48" s="189"/>
      <c r="T48" s="182"/>
      <c r="U48" s="183"/>
      <c r="V48" s="184"/>
      <c r="W48" s="185"/>
      <c r="X48" s="185"/>
      <c r="Y48" s="170">
        <v>9348</v>
      </c>
      <c r="Z48" s="170"/>
      <c r="AA48" s="170"/>
      <c r="AB48" s="19"/>
      <c r="AC48" s="159"/>
      <c r="AD48" s="132"/>
      <c r="AE48" s="34"/>
      <c r="AF48" s="34"/>
      <c r="AG48" s="34"/>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22"/>
      <c r="BD48" s="160"/>
      <c r="BE48" s="160"/>
      <c r="BF48" s="160"/>
      <c r="BG48" s="34"/>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row>
    <row r="49" spans="1:92" s="1" customFormat="1" ht="12.75">
      <c r="A49" s="70">
        <v>14</v>
      </c>
      <c r="B49" s="253" t="s">
        <v>205</v>
      </c>
      <c r="C49" s="216" t="s">
        <v>206</v>
      </c>
      <c r="D49" s="73" t="s">
        <v>207</v>
      </c>
      <c r="E49" s="125">
        <v>0.017</v>
      </c>
      <c r="F49" s="163"/>
      <c r="G49" s="127"/>
      <c r="H49" s="128"/>
      <c r="I49" s="113" t="str">
        <f>R</f>
        <v>Réelle</v>
      </c>
      <c r="J49" s="78" t="s">
        <v>208</v>
      </c>
      <c r="K49" s="252">
        <v>0.017</v>
      </c>
      <c r="L49" s="164"/>
      <c r="M49" s="177" t="str">
        <f>"(9)"</f>
        <v>(9)</v>
      </c>
      <c r="N49" s="178"/>
      <c r="O49" s="113" t="s">
        <v>209</v>
      </c>
      <c r="P49" s="251" t="s">
        <v>210</v>
      </c>
      <c r="Q49" s="113" t="str">
        <f>VI</f>
        <v>(25)</v>
      </c>
      <c r="R49" s="193" t="str">
        <f>VI</f>
        <v>(25)</v>
      </c>
      <c r="S49" s="189"/>
      <c r="T49" s="9"/>
      <c r="U49" s="10"/>
      <c r="V49" s="11"/>
      <c r="W49" s="185" t="str">
        <f>t</f>
        <v>TVO</v>
      </c>
      <c r="X49" s="185"/>
      <c r="Y49" s="35"/>
      <c r="Z49" s="35"/>
      <c r="AA49" s="170"/>
      <c r="AB49" s="19"/>
      <c r="AC49" s="159"/>
      <c r="AD49" s="132"/>
      <c r="AE49" s="34"/>
      <c r="AF49" s="34"/>
      <c r="AG49" s="34"/>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22"/>
      <c r="BD49" s="160"/>
      <c r="BE49" s="160"/>
      <c r="BF49" s="160"/>
      <c r="BG49" s="34"/>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row>
    <row r="50" spans="1:92" s="1" customFormat="1" ht="12.75">
      <c r="A50" s="70">
        <v>15</v>
      </c>
      <c r="B50" s="253" t="s">
        <v>211</v>
      </c>
      <c r="C50" s="216" t="s">
        <v>212</v>
      </c>
      <c r="D50" s="73" t="s">
        <v>213</v>
      </c>
      <c r="E50" s="125">
        <v>0.017</v>
      </c>
      <c r="F50" s="163"/>
      <c r="G50" s="127"/>
      <c r="H50" s="128"/>
      <c r="I50" s="113" t="str">
        <f>R</f>
        <v>Réelle</v>
      </c>
      <c r="J50" s="78" t="str">
        <f>P</f>
        <v>. . .</v>
      </c>
      <c r="K50" s="252">
        <v>0.017</v>
      </c>
      <c r="L50" s="164"/>
      <c r="M50" s="177" t="s">
        <v>214</v>
      </c>
      <c r="N50" s="178"/>
      <c r="O50" s="113" t="s">
        <v>215</v>
      </c>
      <c r="P50" s="251" t="s">
        <v>216</v>
      </c>
      <c r="Q50" s="113" t="str">
        <f>VI</f>
        <v>(25)</v>
      </c>
      <c r="R50" s="193" t="str">
        <f>VI</f>
        <v>(25)</v>
      </c>
      <c r="S50" s="189"/>
      <c r="T50" s="9"/>
      <c r="U50" s="10"/>
      <c r="V50" s="11"/>
      <c r="W50" s="185" t="str">
        <f>t</f>
        <v>TVO</v>
      </c>
      <c r="X50" s="185"/>
      <c r="Y50" s="170">
        <v>4004</v>
      </c>
      <c r="Z50" s="35"/>
      <c r="AA50" s="35"/>
      <c r="AB50" s="19"/>
      <c r="AC50" s="159"/>
      <c r="AD50" s="132"/>
      <c r="AE50" s="34"/>
      <c r="AF50" s="34"/>
      <c r="AG50" s="34"/>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22"/>
      <c r="BD50" s="160"/>
      <c r="BE50" s="160"/>
      <c r="BF50" s="160"/>
      <c r="BG50" s="34"/>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row>
    <row r="51" spans="1:92" s="1" customFormat="1" ht="12.75">
      <c r="A51" s="70"/>
      <c r="B51" s="253"/>
      <c r="C51" s="210" t="s">
        <v>217</v>
      </c>
      <c r="D51" s="73"/>
      <c r="E51" s="125"/>
      <c r="F51" s="163"/>
      <c r="G51" s="127"/>
      <c r="H51" s="128"/>
      <c r="I51" s="113"/>
      <c r="J51" s="78"/>
      <c r="K51" s="250"/>
      <c r="L51" s="164"/>
      <c r="M51" s="177"/>
      <c r="N51" s="178"/>
      <c r="O51" s="179"/>
      <c r="P51" s="251"/>
      <c r="Q51" s="180"/>
      <c r="R51" s="181"/>
      <c r="S51" s="189"/>
      <c r="T51" s="9"/>
      <c r="U51" s="10"/>
      <c r="V51" s="11"/>
      <c r="W51" s="88"/>
      <c r="X51" s="88"/>
      <c r="Y51" s="170">
        <v>9348</v>
      </c>
      <c r="Z51" s="170"/>
      <c r="AA51" s="35"/>
      <c r="AB51" s="19"/>
      <c r="AC51" s="159"/>
      <c r="AD51" s="132"/>
      <c r="AE51" s="34"/>
      <c r="AF51" s="34"/>
      <c r="AG51" s="34"/>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22"/>
      <c r="BD51" s="160"/>
      <c r="BE51" s="160"/>
      <c r="BF51" s="160"/>
      <c r="BG51" s="34"/>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row>
    <row r="52" spans="1:92" s="1" customFormat="1" ht="12.75">
      <c r="A52" s="70">
        <v>16</v>
      </c>
      <c r="B52" s="253" t="s">
        <v>218</v>
      </c>
      <c r="C52" s="216" t="s">
        <v>219</v>
      </c>
      <c r="D52" s="73" t="s">
        <v>220</v>
      </c>
      <c r="E52" s="125">
        <v>0.017</v>
      </c>
      <c r="F52" s="163"/>
      <c r="G52" s="127"/>
      <c r="H52" s="128"/>
      <c r="I52" s="113" t="str">
        <f>R</f>
        <v>Réelle</v>
      </c>
      <c r="J52" s="78" t="s">
        <v>221</v>
      </c>
      <c r="K52" s="252">
        <v>0.017</v>
      </c>
      <c r="L52" s="164"/>
      <c r="M52" s="177" t="str">
        <f>"(9)"</f>
        <v>(9)</v>
      </c>
      <c r="N52" s="178"/>
      <c r="O52" s="113" t="s">
        <v>222</v>
      </c>
      <c r="P52" s="251" t="s">
        <v>223</v>
      </c>
      <c r="Q52" s="113" t="str">
        <f>VI</f>
        <v>(25)</v>
      </c>
      <c r="R52" s="193" t="str">
        <f>VI</f>
        <v>(25)</v>
      </c>
      <c r="S52" s="199"/>
      <c r="T52" s="9"/>
      <c r="U52" s="10"/>
      <c r="V52" s="11"/>
      <c r="W52" s="185" t="str">
        <f>t</f>
        <v>TVO</v>
      </c>
      <c r="X52" s="185"/>
      <c r="Y52" s="35"/>
      <c r="Z52" s="35"/>
      <c r="AA52" s="170"/>
      <c r="AB52" s="19"/>
      <c r="AC52" s="159"/>
      <c r="AD52" s="132"/>
      <c r="AE52" s="34"/>
      <c r="AF52" s="34"/>
      <c r="AG52" s="34"/>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22"/>
      <c r="BD52" s="160"/>
      <c r="BE52" s="160"/>
      <c r="BF52" s="160"/>
      <c r="BG52" s="34"/>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row>
    <row r="53" spans="1:92" s="1" customFormat="1" ht="12.75">
      <c r="A53" s="70">
        <v>17</v>
      </c>
      <c r="B53" s="253" t="s">
        <v>224</v>
      </c>
      <c r="C53" s="216" t="s">
        <v>225</v>
      </c>
      <c r="D53" s="73" t="s">
        <v>226</v>
      </c>
      <c r="E53" s="125">
        <v>0.017</v>
      </c>
      <c r="F53" s="163"/>
      <c r="G53" s="127"/>
      <c r="H53" s="128"/>
      <c r="I53" s="113" t="str">
        <f>R</f>
        <v>Réelle</v>
      </c>
      <c r="J53" s="78" t="str">
        <f>P</f>
        <v>. . .</v>
      </c>
      <c r="K53" s="252">
        <v>0.017</v>
      </c>
      <c r="L53" s="164"/>
      <c r="M53" s="177" t="s">
        <v>227</v>
      </c>
      <c r="N53" s="178"/>
      <c r="O53" s="113" t="s">
        <v>228</v>
      </c>
      <c r="P53" s="251" t="s">
        <v>229</v>
      </c>
      <c r="Q53" s="113" t="str">
        <f>VI</f>
        <v>(25)</v>
      </c>
      <c r="R53" s="193" t="str">
        <f>VI</f>
        <v>(25)</v>
      </c>
      <c r="S53" s="199"/>
      <c r="T53" s="9"/>
      <c r="U53" s="10"/>
      <c r="V53" s="11"/>
      <c r="W53" s="185" t="str">
        <f>t</f>
        <v>TVO</v>
      </c>
      <c r="X53" s="185"/>
      <c r="Y53" s="170">
        <v>4004</v>
      </c>
      <c r="Z53" s="35"/>
      <c r="AA53" s="35"/>
      <c r="AB53" s="254"/>
      <c r="AC53" s="159"/>
      <c r="AD53" s="132"/>
      <c r="AE53" s="34"/>
      <c r="AF53" s="34"/>
      <c r="AG53" s="34"/>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6"/>
      <c r="BD53" s="255"/>
      <c r="BE53" s="255"/>
      <c r="BF53" s="255"/>
      <c r="BG53" s="25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row>
    <row r="54" spans="1:92" s="1" customFormat="1" ht="12.75">
      <c r="A54" s="70"/>
      <c r="B54" s="253"/>
      <c r="C54" s="213" t="s">
        <v>230</v>
      </c>
      <c r="D54" s="73"/>
      <c r="E54" s="125"/>
      <c r="F54" s="163"/>
      <c r="G54" s="127"/>
      <c r="H54" s="128"/>
      <c r="I54" s="113"/>
      <c r="J54" s="78"/>
      <c r="K54" s="250"/>
      <c r="L54" s="164"/>
      <c r="M54" s="177"/>
      <c r="N54" s="178"/>
      <c r="O54" s="179"/>
      <c r="P54" s="251"/>
      <c r="Q54" s="180"/>
      <c r="R54" s="181"/>
      <c r="S54" s="189"/>
      <c r="T54" s="9"/>
      <c r="U54" s="10"/>
      <c r="V54" s="11"/>
      <c r="W54" s="88"/>
      <c r="X54" s="88"/>
      <c r="Y54" s="170">
        <v>9348</v>
      </c>
      <c r="Z54" s="170"/>
      <c r="AA54" s="35"/>
      <c r="AB54" s="254"/>
      <c r="AC54" s="159"/>
      <c r="AD54" s="132"/>
      <c r="AE54" s="34"/>
      <c r="AF54" s="34"/>
      <c r="AG54" s="34"/>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6"/>
      <c r="BD54" s="255"/>
      <c r="BE54" s="255"/>
      <c r="BF54" s="255"/>
      <c r="BG54" s="25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row>
    <row r="55" spans="1:92" s="1" customFormat="1" ht="12.75">
      <c r="A55" s="70">
        <v>18</v>
      </c>
      <c r="B55" s="253" t="s">
        <v>231</v>
      </c>
      <c r="C55" s="216" t="s">
        <v>232</v>
      </c>
      <c r="D55" s="73" t="s">
        <v>233</v>
      </c>
      <c r="E55" s="125" t="s">
        <v>234</v>
      </c>
      <c r="F55" s="163"/>
      <c r="G55" s="127"/>
      <c r="H55" s="128"/>
      <c r="I55" s="113" t="str">
        <f>R</f>
        <v>Réelle</v>
      </c>
      <c r="J55" s="78" t="s">
        <v>235</v>
      </c>
      <c r="K55" s="250" t="s">
        <v>236</v>
      </c>
      <c r="L55" s="164"/>
      <c r="M55" s="177" t="str">
        <f>"(9)"</f>
        <v>(9)</v>
      </c>
      <c r="N55" s="178"/>
      <c r="O55" s="113" t="s">
        <v>237</v>
      </c>
      <c r="P55" s="251" t="s">
        <v>238</v>
      </c>
      <c r="Q55" s="113" t="str">
        <f>VI</f>
        <v>(25)</v>
      </c>
      <c r="R55" s="193" t="str">
        <f>VI</f>
        <v>(25)</v>
      </c>
      <c r="S55" s="199"/>
      <c r="T55" s="9"/>
      <c r="U55" s="10"/>
      <c r="V55" s="11"/>
      <c r="W55" s="185" t="str">
        <f>t</f>
        <v>TVO</v>
      </c>
      <c r="X55" s="185"/>
      <c r="Y55" s="35"/>
      <c r="Z55" s="35"/>
      <c r="AA55" s="170"/>
      <c r="AB55" s="254"/>
      <c r="AC55" s="258"/>
      <c r="AD55" s="259"/>
      <c r="AE55" s="255"/>
      <c r="AF55" s="260"/>
      <c r="AG55" s="260"/>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6"/>
      <c r="BD55" s="255"/>
      <c r="BE55" s="255"/>
      <c r="BF55" s="255"/>
      <c r="BG55" s="25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row>
    <row r="56" spans="1:92" s="1" customFormat="1" ht="12.75">
      <c r="A56" s="70">
        <v>19</v>
      </c>
      <c r="B56" s="253" t="s">
        <v>239</v>
      </c>
      <c r="C56" s="216" t="s">
        <v>240</v>
      </c>
      <c r="D56" s="73" t="s">
        <v>241</v>
      </c>
      <c r="E56" s="125" t="s">
        <v>242</v>
      </c>
      <c r="F56" s="163"/>
      <c r="G56" s="127"/>
      <c r="H56" s="128"/>
      <c r="I56" s="113" t="str">
        <f>R</f>
        <v>Réelle</v>
      </c>
      <c r="J56" s="78" t="str">
        <f>P</f>
        <v>. . .</v>
      </c>
      <c r="K56" s="250" t="s">
        <v>243</v>
      </c>
      <c r="L56" s="164"/>
      <c r="M56" s="177" t="s">
        <v>244</v>
      </c>
      <c r="N56" s="178"/>
      <c r="O56" s="113" t="s">
        <v>245</v>
      </c>
      <c r="P56" s="251" t="s">
        <v>246</v>
      </c>
      <c r="Q56" s="113" t="str">
        <f>VI</f>
        <v>(25)</v>
      </c>
      <c r="R56" s="193" t="str">
        <f>VI</f>
        <v>(25)</v>
      </c>
      <c r="S56" s="199"/>
      <c r="T56" s="9"/>
      <c r="U56" s="10"/>
      <c r="V56" s="11"/>
      <c r="W56" s="185" t="str">
        <f>t</f>
        <v>TVO</v>
      </c>
      <c r="X56" s="185"/>
      <c r="Y56" s="35"/>
      <c r="Z56" s="35"/>
      <c r="AA56" s="35"/>
      <c r="AB56" s="254"/>
      <c r="AC56" s="258"/>
      <c r="AD56" s="259"/>
      <c r="AE56" s="255"/>
      <c r="AF56" s="260"/>
      <c r="AG56" s="260"/>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6"/>
      <c r="BD56" s="255"/>
      <c r="BE56" s="255"/>
      <c r="BF56" s="255"/>
      <c r="BG56" s="25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row>
    <row r="57" spans="1:92" s="1" customFormat="1" ht="12.75">
      <c r="A57" s="70"/>
      <c r="B57" s="89"/>
      <c r="C57" s="216"/>
      <c r="D57" s="73"/>
      <c r="E57" s="125"/>
      <c r="F57" s="163"/>
      <c r="G57" s="127"/>
      <c r="H57" s="128"/>
      <c r="I57" s="113"/>
      <c r="J57" s="78"/>
      <c r="K57" s="250"/>
      <c r="L57" s="164"/>
      <c r="M57" s="177"/>
      <c r="N57" s="178"/>
      <c r="O57" s="179"/>
      <c r="P57" s="251"/>
      <c r="Q57" s="180"/>
      <c r="R57" s="181"/>
      <c r="S57" s="189"/>
      <c r="T57" s="85"/>
      <c r="U57" s="86"/>
      <c r="V57" s="87"/>
      <c r="W57" s="88"/>
      <c r="X57" s="88"/>
      <c r="Y57" s="170"/>
      <c r="Z57" s="170"/>
      <c r="AA57" s="35"/>
      <c r="AB57" s="254"/>
      <c r="AC57" s="258"/>
      <c r="AD57" s="259"/>
      <c r="AE57" s="255"/>
      <c r="AF57" s="260"/>
      <c r="AG57" s="260"/>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6"/>
      <c r="BD57" s="255"/>
      <c r="BE57" s="255"/>
      <c r="BF57" s="255"/>
      <c r="BG57" s="25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row>
    <row r="58" spans="1:92" s="1" customFormat="1" ht="12.75">
      <c r="A58" s="261"/>
      <c r="B58" s="262" t="s">
        <v>247</v>
      </c>
      <c r="C58" s="172" t="s">
        <v>248</v>
      </c>
      <c r="D58" s="263" t="s">
        <v>249</v>
      </c>
      <c r="E58" s="264" t="s">
        <v>250</v>
      </c>
      <c r="F58" s="265"/>
      <c r="G58" s="266" t="s">
        <v>251</v>
      </c>
      <c r="H58" s="267" t="s">
        <v>252</v>
      </c>
      <c r="I58" s="268" t="s">
        <v>253</v>
      </c>
      <c r="J58" s="268" t="s">
        <v>254</v>
      </c>
      <c r="K58" s="269" t="s">
        <v>255</v>
      </c>
      <c r="L58" s="269"/>
      <c r="M58" s="270" t="s">
        <v>256</v>
      </c>
      <c r="N58" s="271"/>
      <c r="O58" s="272"/>
      <c r="P58" s="273"/>
      <c r="Q58" s="274" t="s">
        <v>257</v>
      </c>
      <c r="R58" s="275" t="s">
        <v>258</v>
      </c>
      <c r="S58" s="199"/>
      <c r="T58" s="85"/>
      <c r="U58" s="86"/>
      <c r="V58" s="87"/>
      <c r="W58" s="88"/>
      <c r="X58" s="88"/>
      <c r="Y58" s="276"/>
      <c r="Z58" s="276"/>
      <c r="AA58" s="170"/>
      <c r="AB58" s="254"/>
      <c r="AC58" s="258"/>
      <c r="AD58" s="259"/>
      <c r="AE58" s="255"/>
      <c r="AF58" s="260"/>
      <c r="AG58" s="260"/>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6"/>
      <c r="BD58" s="255"/>
      <c r="BE58" s="255"/>
      <c r="BF58" s="255"/>
      <c r="BG58" s="25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row>
    <row r="59" spans="1:92" s="1" customFormat="1" ht="12.75">
      <c r="A59" s="261"/>
      <c r="B59" s="262"/>
      <c r="C59" s="277"/>
      <c r="D59" s="263"/>
      <c r="E59" s="264"/>
      <c r="F59" s="265"/>
      <c r="G59" s="266"/>
      <c r="H59" s="267"/>
      <c r="I59" s="268"/>
      <c r="J59" s="268"/>
      <c r="K59" s="269"/>
      <c r="L59" s="269"/>
      <c r="M59" s="270"/>
      <c r="N59" s="271"/>
      <c r="O59" s="272"/>
      <c r="P59" s="273"/>
      <c r="Q59" s="274"/>
      <c r="R59" s="275"/>
      <c r="S59" s="199"/>
      <c r="T59" s="182"/>
      <c r="U59" s="183"/>
      <c r="V59" s="184"/>
      <c r="W59" s="185"/>
      <c r="X59" s="185"/>
      <c r="Y59" s="276">
        <v>9348</v>
      </c>
      <c r="Z59" s="276"/>
      <c r="AA59" s="276"/>
      <c r="AB59" s="254"/>
      <c r="AC59" s="258"/>
      <c r="AD59" s="259"/>
      <c r="AE59" s="255"/>
      <c r="AF59" s="260"/>
      <c r="AG59" s="260"/>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6"/>
      <c r="BD59" s="255"/>
      <c r="BE59" s="255"/>
      <c r="BF59" s="255"/>
      <c r="BG59" s="25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row>
    <row r="60" spans="1:92" s="1" customFormat="1" ht="12.75">
      <c r="A60" s="70"/>
      <c r="B60" s="34"/>
      <c r="C60" s="278" t="s">
        <v>259</v>
      </c>
      <c r="D60" s="73"/>
      <c r="E60" s="125"/>
      <c r="F60" s="163"/>
      <c r="G60" s="127"/>
      <c r="H60" s="128"/>
      <c r="I60" s="78"/>
      <c r="J60" s="78"/>
      <c r="K60" s="164"/>
      <c r="L60" s="164"/>
      <c r="M60" s="177"/>
      <c r="N60" s="178"/>
      <c r="O60" s="179"/>
      <c r="P60" s="251"/>
      <c r="Q60" s="113"/>
      <c r="R60" s="193"/>
      <c r="S60" s="189"/>
      <c r="T60" s="279"/>
      <c r="U60" s="280"/>
      <c r="V60" s="281"/>
      <c r="W60" s="282"/>
      <c r="X60" s="282"/>
      <c r="Y60" s="35">
        <v>9348</v>
      </c>
      <c r="Z60" s="35"/>
      <c r="AA60" s="276"/>
      <c r="AB60" s="254"/>
      <c r="AC60" s="258"/>
      <c r="AD60" s="259"/>
      <c r="AE60" s="255"/>
      <c r="AF60" s="260"/>
      <c r="AG60" s="260"/>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6"/>
      <c r="BD60" s="255"/>
      <c r="BE60" s="255"/>
      <c r="BF60" s="255"/>
      <c r="BG60" s="25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row>
    <row r="61" spans="1:92" s="1" customFormat="1" ht="12.75">
      <c r="A61" s="70">
        <v>20</v>
      </c>
      <c r="B61" s="89" t="s">
        <v>260</v>
      </c>
      <c r="C61" s="216" t="s">
        <v>261</v>
      </c>
      <c r="D61" s="78" t="str">
        <f>P</f>
        <v>. . .</v>
      </c>
      <c r="E61" s="125" t="s">
        <v>262</v>
      </c>
      <c r="F61" s="163"/>
      <c r="G61" s="217" t="s">
        <v>263</v>
      </c>
      <c r="H61" s="71" t="s">
        <v>264</v>
      </c>
      <c r="I61" s="78">
        <f>vfspb</f>
        <v>26.26</v>
      </c>
      <c r="J61" s="78" t="s">
        <v>265</v>
      </c>
      <c r="K61" s="163" t="s">
        <v>266</v>
      </c>
      <c r="L61" s="163"/>
      <c r="M61" s="177">
        <f>TISP</f>
        <v>58.92</v>
      </c>
      <c r="N61" s="178"/>
      <c r="O61" s="179" t="str">
        <f aca="true" t="shared" si="1" ref="O61:P63">P</f>
        <v>. . .</v>
      </c>
      <c r="P61" s="251" t="str">
        <f t="shared" si="1"/>
        <v>. . .</v>
      </c>
      <c r="Q61" s="113">
        <f>SUM(I61:P61)*19.6%</f>
        <v>16.69528</v>
      </c>
      <c r="R61" s="193">
        <f>SUM(I61:P61)*13%</f>
        <v>11.073400000000001</v>
      </c>
      <c r="S61" s="283"/>
      <c r="T61" s="279">
        <v>5734</v>
      </c>
      <c r="U61" s="280"/>
      <c r="V61" s="11"/>
      <c r="W61" s="284">
        <v>5903</v>
      </c>
      <c r="X61" s="284"/>
      <c r="Y61" s="35">
        <v>9348</v>
      </c>
      <c r="Z61" s="35"/>
      <c r="AA61" s="35"/>
      <c r="AB61" s="254"/>
      <c r="AC61" s="258"/>
      <c r="AD61" s="259"/>
      <c r="AE61" s="255"/>
      <c r="AF61" s="260"/>
      <c r="AG61" s="260"/>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6"/>
      <c r="BD61" s="255"/>
      <c r="BE61" s="255"/>
      <c r="BF61" s="255"/>
      <c r="BG61" s="25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row>
    <row r="62" spans="1:92" s="1" customFormat="1" ht="12.75">
      <c r="A62" s="70">
        <v>21</v>
      </c>
      <c r="B62" s="89" t="s">
        <v>267</v>
      </c>
      <c r="C62" s="216" t="s">
        <v>268</v>
      </c>
      <c r="D62" s="78" t="str">
        <f>P</f>
        <v>. . .</v>
      </c>
      <c r="E62" s="125" t="s">
        <v>269</v>
      </c>
      <c r="F62" s="163"/>
      <c r="G62" s="217" t="s">
        <v>270</v>
      </c>
      <c r="H62" s="71" t="s">
        <v>271</v>
      </c>
      <c r="I62" s="78">
        <f>VFGO</f>
        <v>32.04</v>
      </c>
      <c r="J62" s="78" t="s">
        <v>272</v>
      </c>
      <c r="K62" s="163" t="s">
        <v>273</v>
      </c>
      <c r="L62" s="163"/>
      <c r="M62" s="177">
        <f>TIGO</f>
        <v>41.69</v>
      </c>
      <c r="N62" s="178"/>
      <c r="O62" s="179" t="str">
        <f t="shared" si="1"/>
        <v>. . .</v>
      </c>
      <c r="P62" s="251" t="str">
        <f t="shared" si="1"/>
        <v>. . .</v>
      </c>
      <c r="Q62" s="113">
        <f>TVAGOMETRO</f>
        <v>14.45108</v>
      </c>
      <c r="R62" s="193">
        <f>TVAGOCORSE</f>
        <v>9.5849</v>
      </c>
      <c r="S62" s="283"/>
      <c r="T62" s="85">
        <v>5731</v>
      </c>
      <c r="U62" s="86"/>
      <c r="V62" s="11"/>
      <c r="W62" s="285">
        <v>5938</v>
      </c>
      <c r="X62" s="285"/>
      <c r="Y62" s="35"/>
      <c r="Z62" s="35"/>
      <c r="AA62" s="35"/>
      <c r="AB62" s="254"/>
      <c r="AC62" s="258"/>
      <c r="AD62" s="259"/>
      <c r="AE62" s="255"/>
      <c r="AF62" s="260"/>
      <c r="AG62" s="260"/>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6"/>
      <c r="BD62" s="255"/>
      <c r="BE62" s="255"/>
      <c r="BF62" s="255"/>
      <c r="BG62" s="25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row>
    <row r="63" spans="1:92" s="1" customFormat="1" ht="12.75">
      <c r="A63" s="70">
        <v>22</v>
      </c>
      <c r="B63" s="89" t="s">
        <v>274</v>
      </c>
      <c r="C63" s="216" t="s">
        <v>275</v>
      </c>
      <c r="D63" s="78" t="str">
        <f>P</f>
        <v>. . .</v>
      </c>
      <c r="E63" s="125" t="s">
        <v>276</v>
      </c>
      <c r="F63" s="163"/>
      <c r="G63" s="217" t="s">
        <v>277</v>
      </c>
      <c r="H63" s="71" t="s">
        <v>278</v>
      </c>
      <c r="I63" s="113">
        <f>VFFHS</f>
        <v>14.19</v>
      </c>
      <c r="J63" s="78" t="s">
        <v>279</v>
      </c>
      <c r="K63" s="163" t="s">
        <v>280</v>
      </c>
      <c r="L63" s="163"/>
      <c r="M63" s="177">
        <f>TIFBTS</f>
        <v>1.85</v>
      </c>
      <c r="N63" s="178"/>
      <c r="O63" s="179" t="str">
        <f t="shared" si="1"/>
        <v>. . .</v>
      </c>
      <c r="P63" s="251" t="str">
        <f t="shared" si="1"/>
        <v>. . .</v>
      </c>
      <c r="Q63" s="113">
        <f>TVAFLHTSMETRO</f>
        <v>3.24184</v>
      </c>
      <c r="R63" s="193">
        <f>TVAFLHTSCORSE</f>
        <v>2.1502</v>
      </c>
      <c r="S63" s="84"/>
      <c r="T63" s="85">
        <v>5713</v>
      </c>
      <c r="U63" s="86"/>
      <c r="V63" s="11"/>
      <c r="W63" s="285">
        <v>5902</v>
      </c>
      <c r="X63" s="285"/>
      <c r="Y63" s="276">
        <v>9348</v>
      </c>
      <c r="Z63" s="35"/>
      <c r="AA63" s="35"/>
      <c r="AB63" s="254"/>
      <c r="AC63" s="258"/>
      <c r="AD63" s="259"/>
      <c r="AE63" s="255"/>
      <c r="AF63" s="260"/>
      <c r="AG63" s="260"/>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6"/>
      <c r="BD63" s="255"/>
      <c r="BE63" s="255"/>
      <c r="BF63" s="255"/>
      <c r="BG63" s="25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row>
    <row r="64" spans="1:92" s="1" customFormat="1" ht="12.75">
      <c r="A64" s="70"/>
      <c r="B64" s="34"/>
      <c r="C64" s="192" t="s">
        <v>281</v>
      </c>
      <c r="D64" s="78"/>
      <c r="E64" s="125"/>
      <c r="F64" s="163"/>
      <c r="G64" s="217"/>
      <c r="H64" s="71"/>
      <c r="I64" s="78"/>
      <c r="J64" s="78"/>
      <c r="K64" s="163"/>
      <c r="L64" s="163"/>
      <c r="M64" s="177"/>
      <c r="N64" s="178"/>
      <c r="O64" s="179"/>
      <c r="P64" s="251"/>
      <c r="Q64" s="113"/>
      <c r="R64" s="193"/>
      <c r="S64" s="199"/>
      <c r="T64" s="85"/>
      <c r="U64" s="86"/>
      <c r="V64" s="11"/>
      <c r="W64" s="88"/>
      <c r="X64" s="88"/>
      <c r="Y64" s="35">
        <v>9348</v>
      </c>
      <c r="Z64" s="35"/>
      <c r="AA64" s="35"/>
      <c r="AB64" s="254"/>
      <c r="AC64" s="258"/>
      <c r="AD64" s="259"/>
      <c r="AE64" s="255"/>
      <c r="AF64" s="260"/>
      <c r="AG64" s="260"/>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6"/>
      <c r="BD64" s="255"/>
      <c r="BE64" s="255"/>
      <c r="BF64" s="255"/>
      <c r="BG64" s="25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row>
    <row r="65" spans="1:92" s="1" customFormat="1" ht="12.75">
      <c r="A65" s="70">
        <v>23</v>
      </c>
      <c r="B65" s="89" t="s">
        <v>282</v>
      </c>
      <c r="C65" s="216" t="s">
        <v>283</v>
      </c>
      <c r="D65" s="78" t="str">
        <f>P</f>
        <v>. . .</v>
      </c>
      <c r="E65" s="125" t="s">
        <v>284</v>
      </c>
      <c r="F65" s="163"/>
      <c r="G65" s="217" t="s">
        <v>285</v>
      </c>
      <c r="H65" s="71" t="s">
        <v>286</v>
      </c>
      <c r="I65" s="78">
        <f>vfspb</f>
        <v>26.26</v>
      </c>
      <c r="J65" s="78" t="s">
        <v>287</v>
      </c>
      <c r="K65" s="163" t="s">
        <v>288</v>
      </c>
      <c r="L65" s="163"/>
      <c r="M65" s="177">
        <f>TISP</f>
        <v>58.92</v>
      </c>
      <c r="N65" s="178"/>
      <c r="O65" s="179" t="str">
        <f aca="true" t="shared" si="2" ref="O65:P67">P</f>
        <v>. . .</v>
      </c>
      <c r="P65" s="251" t="str">
        <f t="shared" si="2"/>
        <v>. . .</v>
      </c>
      <c r="Q65" s="113">
        <f>TVAcondM</f>
        <v>16.69528</v>
      </c>
      <c r="R65" s="193">
        <f>TVAcondC</f>
        <v>11.073400000000001</v>
      </c>
      <c r="S65" s="84"/>
      <c r="T65" s="279">
        <v>5734</v>
      </c>
      <c r="U65" s="280"/>
      <c r="V65" s="11"/>
      <c r="W65" s="284">
        <v>5903</v>
      </c>
      <c r="X65" s="284"/>
      <c r="Y65" s="35">
        <v>9348</v>
      </c>
      <c r="Z65" s="35"/>
      <c r="AA65" s="35"/>
      <c r="AB65" s="254"/>
      <c r="AC65" s="258"/>
      <c r="AD65" s="259"/>
      <c r="AE65" s="255"/>
      <c r="AF65" s="260"/>
      <c r="AG65" s="260"/>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6"/>
      <c r="BD65" s="255"/>
      <c r="BE65" s="255"/>
      <c r="BF65" s="255"/>
      <c r="BG65" s="25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row>
    <row r="66" spans="1:92" s="1" customFormat="1" ht="12.75">
      <c r="A66" s="70">
        <v>24</v>
      </c>
      <c r="B66" s="89" t="s">
        <v>289</v>
      </c>
      <c r="C66" s="216" t="s">
        <v>290</v>
      </c>
      <c r="D66" s="78" t="str">
        <f>P</f>
        <v>. . .</v>
      </c>
      <c r="E66" s="125" t="s">
        <v>291</v>
      </c>
      <c r="F66" s="163"/>
      <c r="G66" s="217" t="s">
        <v>292</v>
      </c>
      <c r="H66" s="71" t="s">
        <v>293</v>
      </c>
      <c r="I66" s="78">
        <f>VFGO</f>
        <v>32.04</v>
      </c>
      <c r="J66" s="78" t="s">
        <v>294</v>
      </c>
      <c r="K66" s="163" t="s">
        <v>295</v>
      </c>
      <c r="L66" s="163"/>
      <c r="M66" s="177">
        <f>TIGO</f>
        <v>41.69</v>
      </c>
      <c r="N66" s="178"/>
      <c r="O66" s="179" t="str">
        <f t="shared" si="2"/>
        <v>. . .</v>
      </c>
      <c r="P66" s="251" t="str">
        <f t="shared" si="2"/>
        <v>. . .</v>
      </c>
      <c r="Q66" s="113">
        <f>TVAGOMETRO</f>
        <v>14.45108</v>
      </c>
      <c r="R66" s="193">
        <f>TVAGOCORSE</f>
        <v>9.5849</v>
      </c>
      <c r="S66" s="199"/>
      <c r="T66" s="85">
        <v>5731</v>
      </c>
      <c r="U66" s="86"/>
      <c r="V66" s="11"/>
      <c r="W66" s="285">
        <v>5938</v>
      </c>
      <c r="X66" s="285"/>
      <c r="Y66" s="35"/>
      <c r="Z66" s="35"/>
      <c r="AA66" s="35"/>
      <c r="AB66" s="254"/>
      <c r="AC66" s="258"/>
      <c r="AD66" s="259"/>
      <c r="AE66" s="255"/>
      <c r="AF66" s="260"/>
      <c r="AG66" s="260"/>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6"/>
      <c r="BD66" s="255"/>
      <c r="BE66" s="255"/>
      <c r="BF66" s="255"/>
      <c r="BG66" s="25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row>
    <row r="67" spans="1:92" s="1" customFormat="1" ht="12.75">
      <c r="A67" s="222">
        <v>25</v>
      </c>
      <c r="B67" s="223" t="s">
        <v>296</v>
      </c>
      <c r="C67" s="224" t="s">
        <v>297</v>
      </c>
      <c r="D67" s="230" t="str">
        <f>P</f>
        <v>. . .</v>
      </c>
      <c r="E67" s="226" t="s">
        <v>298</v>
      </c>
      <c r="F67" s="227"/>
      <c r="G67" s="286" t="s">
        <v>299</v>
      </c>
      <c r="H67" s="287" t="s">
        <v>300</v>
      </c>
      <c r="I67" s="235">
        <f>VFFHS</f>
        <v>14.19</v>
      </c>
      <c r="J67" s="230" t="s">
        <v>301</v>
      </c>
      <c r="K67" s="227" t="s">
        <v>302</v>
      </c>
      <c r="L67" s="227"/>
      <c r="M67" s="232">
        <f>TIFBTS</f>
        <v>1.85</v>
      </c>
      <c r="N67" s="233"/>
      <c r="O67" s="234" t="str">
        <f t="shared" si="2"/>
        <v>. . .</v>
      </c>
      <c r="P67" s="288" t="str">
        <f t="shared" si="2"/>
        <v>. . .</v>
      </c>
      <c r="Q67" s="235">
        <f>TVAFLHTSMETRO</f>
        <v>3.24184</v>
      </c>
      <c r="R67" s="236">
        <f>TVAFLHTSCORSE</f>
        <v>2.1502</v>
      </c>
      <c r="S67" s="84"/>
      <c r="T67" s="85">
        <v>5713</v>
      </c>
      <c r="U67" s="86"/>
      <c r="V67" s="11"/>
      <c r="W67" s="285">
        <v>5902</v>
      </c>
      <c r="X67" s="285"/>
      <c r="Y67" s="35"/>
      <c r="Z67" s="35"/>
      <c r="AA67" s="35"/>
      <c r="AB67" s="289"/>
      <c r="AC67" s="19"/>
      <c r="AD67" s="258"/>
      <c r="AE67" s="259"/>
      <c r="AF67" s="255"/>
      <c r="AG67" s="260"/>
      <c r="AH67" s="2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22"/>
      <c r="BE67" s="160"/>
      <c r="BF67" s="160"/>
      <c r="BG67" s="160"/>
      <c r="BH67" s="34"/>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row>
    <row r="68" spans="1:92" s="1" customFormat="1" ht="33.75">
      <c r="A68" s="238"/>
      <c r="B68" s="239"/>
      <c r="C68" s="290" t="s">
        <v>303</v>
      </c>
      <c r="D68" s="241"/>
      <c r="E68" s="242"/>
      <c r="F68" s="243"/>
      <c r="G68" s="94"/>
      <c r="H68" s="95"/>
      <c r="I68" s="244"/>
      <c r="J68" s="244"/>
      <c r="K68" s="245"/>
      <c r="L68" s="245"/>
      <c r="M68" s="246"/>
      <c r="N68" s="247"/>
      <c r="O68" s="248"/>
      <c r="P68" s="113"/>
      <c r="Q68" s="98"/>
      <c r="R68" s="291"/>
      <c r="S68" s="199"/>
      <c r="T68" s="85"/>
      <c r="U68" s="86"/>
      <c r="V68" s="87"/>
      <c r="W68" s="88"/>
      <c r="X68" s="88"/>
      <c r="Y68" s="35"/>
      <c r="Z68" s="35"/>
      <c r="AA68" s="35"/>
      <c r="AB68" s="19"/>
      <c r="AC68" s="258"/>
      <c r="AD68" s="259"/>
      <c r="AE68" s="255"/>
      <c r="AF68" s="260"/>
      <c r="AG68" s="2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22"/>
      <c r="BD68" s="160"/>
      <c r="BE68" s="160"/>
      <c r="BF68" s="160"/>
      <c r="BG68" s="34"/>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row>
    <row r="69" spans="1:92" s="1" customFormat="1" ht="33.75">
      <c r="A69" s="70"/>
      <c r="B69" s="89"/>
      <c r="C69" s="172" t="s">
        <v>304</v>
      </c>
      <c r="D69" s="73"/>
      <c r="E69" s="125"/>
      <c r="F69" s="163"/>
      <c r="G69" s="127"/>
      <c r="H69" s="128"/>
      <c r="I69" s="78"/>
      <c r="J69" s="78"/>
      <c r="K69" s="164"/>
      <c r="L69" s="164"/>
      <c r="M69" s="177"/>
      <c r="N69" s="178"/>
      <c r="O69" s="179"/>
      <c r="P69" s="113"/>
      <c r="Q69" s="113"/>
      <c r="R69" s="193"/>
      <c r="S69" s="199"/>
      <c r="T69" s="85"/>
      <c r="U69" s="86"/>
      <c r="V69" s="87"/>
      <c r="W69" s="88"/>
      <c r="X69" s="88"/>
      <c r="Y69" s="35"/>
      <c r="Z69" s="35"/>
      <c r="AA69" s="35"/>
      <c r="AB69" s="19"/>
      <c r="AC69" s="258"/>
      <c r="AD69" s="259"/>
      <c r="AE69" s="255"/>
      <c r="AF69" s="260"/>
      <c r="AG69" s="2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22"/>
      <c r="BD69" s="160"/>
      <c r="BE69" s="160"/>
      <c r="BF69" s="160"/>
      <c r="BG69" s="34"/>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row>
    <row r="70" spans="1:92" s="1" customFormat="1" ht="12.75">
      <c r="A70" s="70"/>
      <c r="B70" s="89"/>
      <c r="C70" s="210"/>
      <c r="D70" s="73"/>
      <c r="E70" s="125"/>
      <c r="F70" s="163"/>
      <c r="G70" s="127"/>
      <c r="H70" s="128"/>
      <c r="I70" s="78"/>
      <c r="J70" s="78"/>
      <c r="K70" s="164"/>
      <c r="L70" s="164"/>
      <c r="M70" s="177"/>
      <c r="N70" s="178"/>
      <c r="O70" s="179"/>
      <c r="P70" s="180"/>
      <c r="Q70" s="113"/>
      <c r="R70" s="193"/>
      <c r="S70" s="199"/>
      <c r="T70" s="85"/>
      <c r="U70" s="86"/>
      <c r="V70" s="87"/>
      <c r="W70" s="88"/>
      <c r="X70" s="88"/>
      <c r="Y70" s="35"/>
      <c r="Z70" s="35"/>
      <c r="AA70" s="35"/>
      <c r="AB70" s="254"/>
      <c r="AC70" s="20"/>
      <c r="AD70" s="21"/>
      <c r="AE70" s="160"/>
      <c r="AF70" s="160"/>
      <c r="AG70" s="160"/>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6"/>
      <c r="BD70" s="255"/>
      <c r="BE70" s="255"/>
      <c r="BF70" s="255"/>
      <c r="BG70" s="25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row>
    <row r="71" spans="1:92" s="1" customFormat="1" ht="12.75">
      <c r="A71" s="261"/>
      <c r="B71" s="262" t="s">
        <v>305</v>
      </c>
      <c r="C71" s="292" t="s">
        <v>306</v>
      </c>
      <c r="D71" s="263" t="s">
        <v>307</v>
      </c>
      <c r="E71" s="264" t="s">
        <v>308</v>
      </c>
      <c r="F71" s="265"/>
      <c r="G71" s="266" t="s">
        <v>309</v>
      </c>
      <c r="H71" s="267" t="s">
        <v>310</v>
      </c>
      <c r="I71" s="268" t="s">
        <v>311</v>
      </c>
      <c r="J71" s="268" t="s">
        <v>312</v>
      </c>
      <c r="K71" s="269" t="s">
        <v>313</v>
      </c>
      <c r="L71" s="269"/>
      <c r="M71" s="270" t="s">
        <v>314</v>
      </c>
      <c r="N71" s="271"/>
      <c r="O71" s="272"/>
      <c r="P71" s="293"/>
      <c r="Q71" s="294" t="s">
        <v>315</v>
      </c>
      <c r="R71" s="295" t="s">
        <v>316</v>
      </c>
      <c r="S71" s="84"/>
      <c r="T71" s="85"/>
      <c r="U71" s="86"/>
      <c r="V71" s="87"/>
      <c r="W71" s="88"/>
      <c r="X71" s="88"/>
      <c r="Y71" s="115">
        <v>9052</v>
      </c>
      <c r="Z71" s="115">
        <v>9301</v>
      </c>
      <c r="AA71" s="35"/>
      <c r="AB71" s="254"/>
      <c r="AC71" s="20"/>
      <c r="AD71" s="21"/>
      <c r="AE71" s="22"/>
      <c r="AF71" s="22"/>
      <c r="AG71" s="22"/>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6"/>
      <c r="BD71" s="255"/>
      <c r="BE71" s="255"/>
      <c r="BF71" s="255"/>
      <c r="BG71" s="25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row>
    <row r="72" spans="1:92" s="1" customFormat="1" ht="12.75">
      <c r="A72" s="261"/>
      <c r="B72" s="262"/>
      <c r="C72" s="277"/>
      <c r="D72" s="263"/>
      <c r="E72" s="264"/>
      <c r="F72" s="265"/>
      <c r="G72" s="266"/>
      <c r="H72" s="267"/>
      <c r="I72" s="268"/>
      <c r="J72" s="268"/>
      <c r="K72" s="269"/>
      <c r="L72" s="269"/>
      <c r="M72" s="270"/>
      <c r="N72" s="271"/>
      <c r="O72" s="272"/>
      <c r="P72" s="293"/>
      <c r="Q72" s="294"/>
      <c r="R72" s="295"/>
      <c r="S72" s="84"/>
      <c r="T72" s="85"/>
      <c r="U72" s="86"/>
      <c r="V72" s="87"/>
      <c r="W72" s="88"/>
      <c r="X72" s="88"/>
      <c r="Y72" s="115"/>
      <c r="Z72" s="115"/>
      <c r="AA72" s="115"/>
      <c r="AB72" s="254"/>
      <c r="AC72" s="296"/>
      <c r="AD72" s="297"/>
      <c r="AE72" s="256"/>
      <c r="AF72" s="256"/>
      <c r="AG72" s="256"/>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6"/>
      <c r="BD72" s="255"/>
      <c r="BE72" s="255"/>
      <c r="BF72" s="255"/>
      <c r="BG72" s="25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row>
    <row r="73" spans="1:92" s="1" customFormat="1" ht="12.75">
      <c r="A73" s="70">
        <v>26</v>
      </c>
      <c r="B73" s="89" t="s">
        <v>317</v>
      </c>
      <c r="C73" s="210" t="s">
        <v>318</v>
      </c>
      <c r="D73" s="73" t="s">
        <v>319</v>
      </c>
      <c r="E73" s="125" t="s">
        <v>320</v>
      </c>
      <c r="F73" s="163"/>
      <c r="G73" s="127" t="s">
        <v>321</v>
      </c>
      <c r="H73" s="128" t="s">
        <v>322</v>
      </c>
      <c r="I73" s="78" t="str">
        <f>R</f>
        <v>Réelle</v>
      </c>
      <c r="J73" s="78" t="s">
        <v>323</v>
      </c>
      <c r="K73" s="252" t="s">
        <v>324</v>
      </c>
      <c r="L73" s="164"/>
      <c r="M73" s="177" t="str">
        <f>"(3)"</f>
        <v>(3)</v>
      </c>
      <c r="N73" s="178"/>
      <c r="O73" s="113" t="str">
        <f>P</f>
        <v>. . .</v>
      </c>
      <c r="P73" s="113" t="str">
        <f>"(3)"</f>
        <v>(3)</v>
      </c>
      <c r="Q73" s="113" t="str">
        <f>"(3)"</f>
        <v>(3)</v>
      </c>
      <c r="R73" s="193" t="str">
        <f>"(3)"</f>
        <v>(3)</v>
      </c>
      <c r="S73" s="84"/>
      <c r="T73" s="9"/>
      <c r="U73" s="10"/>
      <c r="V73" s="11"/>
      <c r="W73" s="158" t="str">
        <f>t</f>
        <v>TVO</v>
      </c>
      <c r="X73" s="158">
        <v>5930</v>
      </c>
      <c r="Y73" s="115">
        <v>9052</v>
      </c>
      <c r="Z73" s="35">
        <v>9301</v>
      </c>
      <c r="AA73" s="115"/>
      <c r="AB73" s="254"/>
      <c r="AC73" s="296"/>
      <c r="AD73" s="297"/>
      <c r="AE73" s="256"/>
      <c r="AF73" s="256"/>
      <c r="AG73" s="256"/>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6"/>
      <c r="BD73" s="255"/>
      <c r="BE73" s="255"/>
      <c r="BF73" s="255"/>
      <c r="BG73" s="25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row>
    <row r="74" spans="1:92" s="1" customFormat="1" ht="12.75">
      <c r="A74" s="70">
        <v>27</v>
      </c>
      <c r="B74" s="89" t="s">
        <v>325</v>
      </c>
      <c r="C74" s="210" t="s">
        <v>326</v>
      </c>
      <c r="D74" s="73" t="s">
        <v>327</v>
      </c>
      <c r="E74" s="125"/>
      <c r="F74" s="163"/>
      <c r="G74" s="127"/>
      <c r="H74" s="128"/>
      <c r="I74" s="78"/>
      <c r="J74" s="78"/>
      <c r="K74" s="164"/>
      <c r="L74" s="164"/>
      <c r="M74" s="177"/>
      <c r="N74" s="178"/>
      <c r="O74" s="179"/>
      <c r="P74" s="113"/>
      <c r="Q74" s="113"/>
      <c r="R74" s="193"/>
      <c r="S74" s="154"/>
      <c r="T74" s="9"/>
      <c r="U74" s="10"/>
      <c r="V74" s="157"/>
      <c r="W74" s="158"/>
      <c r="X74" s="158"/>
      <c r="Y74" s="35"/>
      <c r="Z74" s="35"/>
      <c r="AA74" s="35"/>
      <c r="AB74" s="254"/>
      <c r="AC74" s="296"/>
      <c r="AD74" s="297"/>
      <c r="AE74" s="256"/>
      <c r="AF74" s="256"/>
      <c r="AG74" s="256"/>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6"/>
      <c r="BD74" s="255"/>
      <c r="BE74" s="255"/>
      <c r="BF74" s="255"/>
      <c r="BG74" s="25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row>
    <row r="75" spans="1:92" s="1" customFormat="1" ht="12.75">
      <c r="A75" s="70"/>
      <c r="B75" s="89"/>
      <c r="C75" s="210" t="s">
        <v>328</v>
      </c>
      <c r="D75" s="73" t="s">
        <v>329</v>
      </c>
      <c r="E75" s="125" t="s">
        <v>330</v>
      </c>
      <c r="F75" s="163"/>
      <c r="G75" s="127" t="s">
        <v>331</v>
      </c>
      <c r="H75" s="128" t="s">
        <v>332</v>
      </c>
      <c r="I75" s="78" t="str">
        <f>R</f>
        <v>Réelle</v>
      </c>
      <c r="J75" s="78" t="s">
        <v>333</v>
      </c>
      <c r="K75" s="252" t="s">
        <v>334</v>
      </c>
      <c r="L75" s="164"/>
      <c r="M75" s="177" t="str">
        <f>"(3)"</f>
        <v>(3)</v>
      </c>
      <c r="N75" s="178"/>
      <c r="O75" s="113" t="str">
        <f>P</f>
        <v>. . .</v>
      </c>
      <c r="P75" s="113" t="str">
        <f>"(3)"</f>
        <v>(3)</v>
      </c>
      <c r="Q75" s="113" t="str">
        <f>"(3)"</f>
        <v>(3)</v>
      </c>
      <c r="R75" s="193" t="str">
        <f>"(3)"</f>
        <v>(3)</v>
      </c>
      <c r="S75" s="154"/>
      <c r="T75" s="9"/>
      <c r="U75" s="10"/>
      <c r="V75" s="11"/>
      <c r="W75" s="158" t="str">
        <f>t</f>
        <v>TVO</v>
      </c>
      <c r="X75" s="158">
        <v>5930</v>
      </c>
      <c r="Y75" s="35"/>
      <c r="Z75" s="35"/>
      <c r="AA75" s="35"/>
      <c r="AB75" s="254"/>
      <c r="AC75" s="296"/>
      <c r="AD75" s="297"/>
      <c r="AE75" s="256"/>
      <c r="AF75" s="256"/>
      <c r="AG75" s="256"/>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6"/>
      <c r="BD75" s="255"/>
      <c r="BE75" s="255"/>
      <c r="BF75" s="255"/>
      <c r="BG75" s="25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row>
    <row r="76" spans="1:92" s="1" customFormat="1" ht="12.75">
      <c r="A76" s="70"/>
      <c r="B76" s="89"/>
      <c r="C76" s="216"/>
      <c r="D76" s="73"/>
      <c r="E76" s="125"/>
      <c r="F76" s="163"/>
      <c r="G76" s="127"/>
      <c r="H76" s="128"/>
      <c r="I76" s="78"/>
      <c r="J76" s="78"/>
      <c r="K76" s="164"/>
      <c r="L76" s="164"/>
      <c r="M76" s="177"/>
      <c r="N76" s="178"/>
      <c r="O76" s="179"/>
      <c r="P76" s="180"/>
      <c r="Q76" s="168"/>
      <c r="R76" s="169"/>
      <c r="S76" s="84"/>
      <c r="T76" s="85"/>
      <c r="U76" s="86"/>
      <c r="V76" s="87"/>
      <c r="W76" s="158"/>
      <c r="X76" s="158"/>
      <c r="Y76" s="18"/>
      <c r="Z76" s="18"/>
      <c r="AA76" s="35"/>
      <c r="AB76" s="19"/>
      <c r="AC76" s="296"/>
      <c r="AD76" s="297"/>
      <c r="AE76" s="256"/>
      <c r="AF76" s="256"/>
      <c r="AG76" s="256"/>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6"/>
      <c r="BD76" s="255"/>
      <c r="BE76" s="255"/>
      <c r="BF76" s="255"/>
      <c r="BG76" s="25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row>
    <row r="77" spans="1:92" s="1" customFormat="1" ht="12.75">
      <c r="A77" s="70"/>
      <c r="B77" s="89"/>
      <c r="C77" s="210" t="s">
        <v>335</v>
      </c>
      <c r="D77" s="73"/>
      <c r="E77" s="125"/>
      <c r="F77" s="163"/>
      <c r="G77" s="127"/>
      <c r="H77" s="128"/>
      <c r="I77" s="113"/>
      <c r="J77" s="78"/>
      <c r="K77" s="250"/>
      <c r="L77" s="164"/>
      <c r="M77" s="177"/>
      <c r="N77" s="178"/>
      <c r="O77" s="179"/>
      <c r="P77" s="180"/>
      <c r="Q77" s="180"/>
      <c r="R77" s="181"/>
      <c r="S77" s="84"/>
      <c r="T77" s="85"/>
      <c r="U77" s="86"/>
      <c r="V77" s="87"/>
      <c r="W77" s="88"/>
      <c r="X77" s="88"/>
      <c r="Y77" s="170"/>
      <c r="Z77" s="170"/>
      <c r="AA77" s="18"/>
      <c r="AB77" s="19"/>
      <c r="AC77" s="296"/>
      <c r="AD77" s="297"/>
      <c r="AE77" s="256"/>
      <c r="AF77" s="256"/>
      <c r="AG77" s="256"/>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22"/>
      <c r="BD77" s="160"/>
      <c r="BE77" s="160"/>
      <c r="BF77" s="160"/>
      <c r="BG77" s="34"/>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row>
    <row r="78" spans="1:92" s="1" customFormat="1" ht="12.75">
      <c r="A78" s="70"/>
      <c r="B78" s="89"/>
      <c r="C78" s="210" t="s">
        <v>336</v>
      </c>
      <c r="D78" s="73"/>
      <c r="E78" s="125"/>
      <c r="F78" s="163"/>
      <c r="G78" s="127"/>
      <c r="H78" s="128"/>
      <c r="I78" s="113"/>
      <c r="J78" s="78"/>
      <c r="K78" s="250"/>
      <c r="L78" s="164"/>
      <c r="M78" s="177"/>
      <c r="N78" s="178"/>
      <c r="O78" s="179"/>
      <c r="P78" s="180"/>
      <c r="Q78" s="180"/>
      <c r="R78" s="181"/>
      <c r="S78" s="84"/>
      <c r="T78" s="58"/>
      <c r="U78" s="59"/>
      <c r="V78" s="60"/>
      <c r="W78" s="61"/>
      <c r="X78" s="61"/>
      <c r="Y78" s="170">
        <v>4013</v>
      </c>
      <c r="Z78" s="170">
        <v>9943</v>
      </c>
      <c r="AA78" s="13">
        <v>9302</v>
      </c>
      <c r="AB78" s="14"/>
      <c r="AC78" s="14"/>
      <c r="AD78" s="297"/>
      <c r="AE78" s="256"/>
      <c r="AF78" s="256"/>
      <c r="AG78" s="256"/>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22"/>
      <c r="BD78" s="160"/>
      <c r="BE78" s="160"/>
      <c r="BF78" s="160"/>
      <c r="BG78" s="34"/>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row>
    <row r="79" spans="1:92" s="1" customFormat="1" ht="12.75">
      <c r="A79" s="70"/>
      <c r="B79" s="89"/>
      <c r="C79" s="210" t="s">
        <v>337</v>
      </c>
      <c r="D79" s="73"/>
      <c r="E79" s="125"/>
      <c r="F79" s="163"/>
      <c r="G79" s="127"/>
      <c r="H79" s="128"/>
      <c r="I79" s="113"/>
      <c r="J79" s="78"/>
      <c r="K79" s="250"/>
      <c r="L79" s="164"/>
      <c r="M79" s="177"/>
      <c r="N79" s="178"/>
      <c r="O79" s="179"/>
      <c r="P79" s="113"/>
      <c r="Q79" s="180"/>
      <c r="R79" s="181"/>
      <c r="S79" s="57"/>
      <c r="T79" s="182"/>
      <c r="U79" s="183"/>
      <c r="V79" s="184"/>
      <c r="W79" s="185"/>
      <c r="X79" s="185"/>
      <c r="Y79" s="170">
        <v>4013</v>
      </c>
      <c r="Z79" s="170">
        <v>9302</v>
      </c>
      <c r="AA79" s="170"/>
      <c r="AB79" s="19"/>
      <c r="AC79" s="20"/>
      <c r="AD79" s="21"/>
      <c r="AE79" s="22"/>
      <c r="AF79" s="22"/>
      <c r="AG79" s="22"/>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22"/>
      <c r="BD79" s="160"/>
      <c r="BE79" s="160"/>
      <c r="BF79" s="160"/>
      <c r="BG79" s="34"/>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row>
    <row r="80" spans="1:92" s="1" customFormat="1" ht="12.75">
      <c r="A80" s="70">
        <v>28</v>
      </c>
      <c r="B80" s="89" t="s">
        <v>338</v>
      </c>
      <c r="C80" s="210" t="s">
        <v>339</v>
      </c>
      <c r="D80" s="73" t="s">
        <v>340</v>
      </c>
      <c r="E80" s="125">
        <f>TEChuilelégère</f>
        <v>0</v>
      </c>
      <c r="F80" s="163"/>
      <c r="G80" s="127" t="s">
        <v>341</v>
      </c>
      <c r="H80" s="128" t="s">
        <v>342</v>
      </c>
      <c r="I80" s="113">
        <f>VFWS</f>
        <v>31.29</v>
      </c>
      <c r="J80" s="78" t="s">
        <v>343</v>
      </c>
      <c r="K80" s="250">
        <f>ROUND(I80*TEChuilelégère,2)</f>
        <v>1.47</v>
      </c>
      <c r="L80" s="164"/>
      <c r="M80" s="177">
        <f>TIFD</f>
        <v>5.66</v>
      </c>
      <c r="N80" s="178"/>
      <c r="O80" s="113" t="str">
        <f aca="true" t="shared" si="3" ref="O80:P82">P</f>
        <v>. . .</v>
      </c>
      <c r="P80" s="113" t="str">
        <f t="shared" si="3"/>
        <v>. . .</v>
      </c>
      <c r="Q80" s="180">
        <f>TVAWSCOMBUMETRO</f>
        <v>7.530320000000001</v>
      </c>
      <c r="R80" s="221">
        <f>TVAWSCOMBUCORSE</f>
        <v>4.9946</v>
      </c>
      <c r="S80" s="189"/>
      <c r="T80" s="182">
        <v>5711</v>
      </c>
      <c r="U80" s="183"/>
      <c r="V80" s="11"/>
      <c r="W80" s="190">
        <v>5933</v>
      </c>
      <c r="X80" s="190"/>
      <c r="Y80" s="170">
        <v>4012</v>
      </c>
      <c r="Z80" s="170">
        <v>9348</v>
      </c>
      <c r="AA80" s="170">
        <v>9302</v>
      </c>
      <c r="AB80" s="19"/>
      <c r="AC80" s="20"/>
      <c r="AD80" s="21"/>
      <c r="AE80" s="22"/>
      <c r="AF80" s="22"/>
      <c r="AG80" s="22"/>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22"/>
      <c r="BD80" s="160"/>
      <c r="BE80" s="160"/>
      <c r="BF80" s="160"/>
      <c r="BG80" s="34"/>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row>
    <row r="81" spans="1:92" s="1" customFormat="1" ht="12.75">
      <c r="A81" s="70">
        <v>29</v>
      </c>
      <c r="B81" s="89" t="s">
        <v>344</v>
      </c>
      <c r="C81" s="210" t="s">
        <v>345</v>
      </c>
      <c r="D81" s="73" t="s">
        <v>346</v>
      </c>
      <c r="E81" s="125">
        <f>TEChuilelégère</f>
        <v>0</v>
      </c>
      <c r="F81" s="163"/>
      <c r="G81" s="127" t="s">
        <v>347</v>
      </c>
      <c r="H81" s="128" t="s">
        <v>348</v>
      </c>
      <c r="I81" s="113">
        <f>VFWS</f>
        <v>31.29</v>
      </c>
      <c r="J81" s="78" t="s">
        <v>349</v>
      </c>
      <c r="K81" s="250">
        <f>ROUND(I81*TEChuilelégère,2)</f>
        <v>1.47</v>
      </c>
      <c r="L81" s="164"/>
      <c r="M81" s="177">
        <f>TIFD</f>
        <v>5.66</v>
      </c>
      <c r="N81" s="178"/>
      <c r="O81" s="113" t="str">
        <f t="shared" si="3"/>
        <v>. . .</v>
      </c>
      <c r="P81" s="113" t="str">
        <f t="shared" si="3"/>
        <v>. . .</v>
      </c>
      <c r="Q81" s="180">
        <f>SUM(I81:P81)*19.6%</f>
        <v>7.530320000000001</v>
      </c>
      <c r="R81" s="181">
        <f>SUM(I81:P81)*13%</f>
        <v>4.9946</v>
      </c>
      <c r="S81" s="189"/>
      <c r="T81" s="182">
        <v>5711</v>
      </c>
      <c r="U81" s="183"/>
      <c r="V81" s="11"/>
      <c r="W81" s="190">
        <v>5933</v>
      </c>
      <c r="X81" s="190"/>
      <c r="Y81" s="170"/>
      <c r="Z81" s="170"/>
      <c r="AA81" s="170"/>
      <c r="AB81" s="19"/>
      <c r="AC81" s="20"/>
      <c r="AD81" s="21"/>
      <c r="AE81" s="22"/>
      <c r="AF81" s="22"/>
      <c r="AG81" s="22"/>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22"/>
      <c r="BD81" s="160"/>
      <c r="BE81" s="160"/>
      <c r="BF81" s="160"/>
      <c r="BG81" s="34"/>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row>
    <row r="82" spans="1:92" s="1" customFormat="1" ht="12.75">
      <c r="A82" s="70">
        <v>30</v>
      </c>
      <c r="B82" s="89" t="s">
        <v>350</v>
      </c>
      <c r="C82" s="210" t="s">
        <v>351</v>
      </c>
      <c r="D82" s="73" t="s">
        <v>352</v>
      </c>
      <c r="E82" s="125">
        <f>TEChuilelégère</f>
        <v>0</v>
      </c>
      <c r="F82" s="163"/>
      <c r="G82" s="127" t="s">
        <v>353</v>
      </c>
      <c r="H82" s="128" t="s">
        <v>354</v>
      </c>
      <c r="I82" s="113">
        <f>VFWS</f>
        <v>31.29</v>
      </c>
      <c r="J82" s="78" t="s">
        <v>355</v>
      </c>
      <c r="K82" s="250">
        <f>ROUND(I82*TEChuilelégère,2)</f>
        <v>1.47</v>
      </c>
      <c r="L82" s="164"/>
      <c r="M82" s="97" t="s">
        <v>356</v>
      </c>
      <c r="N82" s="178"/>
      <c r="O82" s="113" t="str">
        <f t="shared" si="3"/>
        <v>. . .</v>
      </c>
      <c r="P82" s="113" t="str">
        <f t="shared" si="3"/>
        <v>. . .</v>
      </c>
      <c r="Q82" s="180">
        <f>SUM(I82:P82)*19.6%</f>
        <v>6.42096</v>
      </c>
      <c r="R82" s="181">
        <f>SUM(I82:P82)*13%</f>
        <v>4.2588</v>
      </c>
      <c r="S82" s="189"/>
      <c r="T82" s="9"/>
      <c r="U82" s="10"/>
      <c r="V82" s="11"/>
      <c r="W82" s="190">
        <v>5906</v>
      </c>
      <c r="X82" s="190"/>
      <c r="Y82" s="170">
        <v>9306</v>
      </c>
      <c r="Z82" s="170">
        <v>9302</v>
      </c>
      <c r="AA82" s="170"/>
      <c r="AB82" s="19"/>
      <c r="AC82" s="20"/>
      <c r="AD82" s="21"/>
      <c r="AE82" s="22"/>
      <c r="AF82" s="22"/>
      <c r="AG82" s="22"/>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22"/>
      <c r="BD82" s="160"/>
      <c r="BE82" s="160"/>
      <c r="BF82" s="160"/>
      <c r="BG82" s="34"/>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row>
    <row r="83" spans="1:92" s="1" customFormat="1" ht="12.75">
      <c r="A83" s="70"/>
      <c r="B83" s="89"/>
      <c r="C83" s="210" t="s">
        <v>357</v>
      </c>
      <c r="D83" s="73"/>
      <c r="E83" s="125"/>
      <c r="F83" s="163"/>
      <c r="G83" s="127"/>
      <c r="H83" s="128"/>
      <c r="I83" s="78"/>
      <c r="J83" s="78"/>
      <c r="K83" s="164"/>
      <c r="L83" s="164"/>
      <c r="M83" s="177"/>
      <c r="N83" s="178"/>
      <c r="O83" s="179"/>
      <c r="P83" s="113"/>
      <c r="Q83" s="168"/>
      <c r="R83" s="169"/>
      <c r="S83" s="189"/>
      <c r="T83" s="182"/>
      <c r="U83" s="183"/>
      <c r="V83" s="184"/>
      <c r="W83" s="185"/>
      <c r="X83" s="185"/>
      <c r="Y83" s="18">
        <v>4012</v>
      </c>
      <c r="Z83" s="18">
        <v>9302</v>
      </c>
      <c r="AA83" s="170"/>
      <c r="AB83" s="19"/>
      <c r="AC83" s="20"/>
      <c r="AD83" s="21"/>
      <c r="AE83" s="22"/>
      <c r="AF83" s="22"/>
      <c r="AG83" s="22"/>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22"/>
      <c r="BD83" s="160"/>
      <c r="BE83" s="160"/>
      <c r="BF83" s="160"/>
      <c r="BG83" s="34"/>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row>
    <row r="84" spans="1:92" s="1" customFormat="1" ht="12.75">
      <c r="A84" s="70">
        <v>31</v>
      </c>
      <c r="B84" s="89" t="s">
        <v>358</v>
      </c>
      <c r="C84" s="210" t="s">
        <v>359</v>
      </c>
      <c r="D84" s="78" t="s">
        <v>360</v>
      </c>
      <c r="E84" s="125">
        <f>TEChuilelégère</f>
        <v>0</v>
      </c>
      <c r="F84" s="163"/>
      <c r="G84" s="127" t="s">
        <v>361</v>
      </c>
      <c r="H84" s="128" t="s">
        <v>362</v>
      </c>
      <c r="I84" s="113">
        <f>VFES</f>
        <v>26.26</v>
      </c>
      <c r="J84" s="78" t="s">
        <v>363</v>
      </c>
      <c r="K84" s="250">
        <f>ROUND(I84*TEChuilelégère,2)</f>
        <v>1.23</v>
      </c>
      <c r="L84" s="164"/>
      <c r="M84" s="177">
        <f>TISP</f>
        <v>58.92</v>
      </c>
      <c r="N84" s="178"/>
      <c r="O84" s="113" t="str">
        <f>P</f>
        <v>. . .</v>
      </c>
      <c r="P84" s="113" t="str">
        <f>P</f>
        <v>. . .</v>
      </c>
      <c r="Q84" s="180">
        <f>SUM(I84:P84)*19.6%</f>
        <v>16.93636</v>
      </c>
      <c r="R84" s="181">
        <f>SUM(I84:P84)*13%</f>
        <v>11.2333</v>
      </c>
      <c r="S84" s="189"/>
      <c r="T84" s="182">
        <v>5716</v>
      </c>
      <c r="U84" s="183"/>
      <c r="V84" s="11"/>
      <c r="W84" s="190">
        <v>5965</v>
      </c>
      <c r="X84" s="190"/>
      <c r="Y84" s="170"/>
      <c r="Z84" s="170"/>
      <c r="AA84" s="18"/>
      <c r="AB84" s="19"/>
      <c r="AC84" s="20"/>
      <c r="AD84" s="21"/>
      <c r="AE84" s="22"/>
      <c r="AF84" s="22"/>
      <c r="AG84" s="22"/>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22"/>
      <c r="BD84" s="160"/>
      <c r="BE84" s="160"/>
      <c r="BF84" s="160"/>
      <c r="BG84" s="34"/>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row>
    <row r="85" spans="1:92" s="1" customFormat="1" ht="12.75">
      <c r="A85" s="70">
        <v>32</v>
      </c>
      <c r="B85" s="89" t="s">
        <v>364</v>
      </c>
      <c r="C85" s="210" t="s">
        <v>365</v>
      </c>
      <c r="D85" s="78" t="s">
        <v>366</v>
      </c>
      <c r="E85" s="125">
        <f>TEChuilelégère</f>
        <v>0</v>
      </c>
      <c r="F85" s="163"/>
      <c r="G85" s="127" t="s">
        <v>367</v>
      </c>
      <c r="H85" s="128" t="s">
        <v>368</v>
      </c>
      <c r="I85" s="113">
        <f>VFES</f>
        <v>26.26</v>
      </c>
      <c r="J85" s="78" t="s">
        <v>369</v>
      </c>
      <c r="K85" s="250">
        <f>ROUND(I85*TEChuilelégère,2)</f>
        <v>1.23</v>
      </c>
      <c r="L85" s="164"/>
      <c r="M85" s="97" t="s">
        <v>370</v>
      </c>
      <c r="N85" s="298"/>
      <c r="O85" s="113" t="str">
        <f>P</f>
        <v>. . .</v>
      </c>
      <c r="P85" s="113" t="str">
        <f>P</f>
        <v>. . .</v>
      </c>
      <c r="Q85" s="180">
        <f>SUM(I85:P85)*19.6%</f>
        <v>5.38804</v>
      </c>
      <c r="R85" s="181">
        <f>SUM(I85:P85)*13%</f>
        <v>3.5737000000000005</v>
      </c>
      <c r="S85" s="189"/>
      <c r="T85" s="9"/>
      <c r="U85" s="10"/>
      <c r="V85" s="11"/>
      <c r="W85" s="219">
        <v>5908</v>
      </c>
      <c r="X85" s="219"/>
      <c r="Y85" s="170"/>
      <c r="Z85" s="170"/>
      <c r="AA85" s="170"/>
      <c r="AB85" s="19"/>
      <c r="AC85" s="20"/>
      <c r="AD85" s="21"/>
      <c r="AE85" s="22"/>
      <c r="AF85" s="22"/>
      <c r="AG85" s="22"/>
      <c r="AH85" s="160"/>
      <c r="AI85" s="22"/>
      <c r="AJ85" s="22"/>
      <c r="AK85" s="22"/>
      <c r="AL85" s="160"/>
      <c r="AM85" s="160"/>
      <c r="AN85" s="22"/>
      <c r="AO85" s="22"/>
      <c r="AP85" s="22"/>
      <c r="AQ85" s="22"/>
      <c r="AR85" s="22"/>
      <c r="AS85" s="22"/>
      <c r="AT85" s="22"/>
      <c r="AU85" s="22"/>
      <c r="AV85" s="22"/>
      <c r="AW85" s="22"/>
      <c r="AX85" s="22"/>
      <c r="AY85" s="22"/>
      <c r="AZ85" s="22"/>
      <c r="BA85" s="22"/>
      <c r="BB85" s="22"/>
      <c r="BC85" s="22"/>
      <c r="BD85" s="22"/>
      <c r="BE85" s="22"/>
      <c r="BF85" s="22"/>
      <c r="BG85" s="34"/>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row>
    <row r="86" spans="1:92" s="1" customFormat="1" ht="12.75">
      <c r="A86" s="70"/>
      <c r="B86" s="34"/>
      <c r="C86" s="299"/>
      <c r="D86" s="73"/>
      <c r="E86" s="125"/>
      <c r="F86" s="163"/>
      <c r="G86" s="127"/>
      <c r="H86" s="128"/>
      <c r="I86" s="78"/>
      <c r="J86" s="78"/>
      <c r="K86" s="164"/>
      <c r="L86" s="164"/>
      <c r="M86" s="177"/>
      <c r="N86" s="178"/>
      <c r="O86" s="179"/>
      <c r="P86" s="180"/>
      <c r="Q86" s="168"/>
      <c r="R86" s="169"/>
      <c r="S86" s="57"/>
      <c r="T86" s="182"/>
      <c r="U86" s="183"/>
      <c r="V86" s="184"/>
      <c r="W86" s="185"/>
      <c r="X86" s="185"/>
      <c r="Y86" s="18"/>
      <c r="Z86" s="18"/>
      <c r="AA86" s="170"/>
      <c r="AB86" s="19"/>
      <c r="AC86" s="20"/>
      <c r="AD86" s="297"/>
      <c r="AE86" s="256"/>
      <c r="AF86" s="256"/>
      <c r="AG86" s="256"/>
      <c r="AH86" s="160"/>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34"/>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row>
    <row r="87" spans="1:59" s="7" customFormat="1" ht="12.75">
      <c r="A87" s="70"/>
      <c r="B87" s="89"/>
      <c r="C87" s="210" t="s">
        <v>371</v>
      </c>
      <c r="D87" s="73"/>
      <c r="E87" s="125"/>
      <c r="F87" s="163"/>
      <c r="G87" s="127"/>
      <c r="H87" s="128"/>
      <c r="I87" s="78"/>
      <c r="J87" s="78"/>
      <c r="K87" s="164"/>
      <c r="L87" s="164"/>
      <c r="M87" s="177"/>
      <c r="N87" s="178"/>
      <c r="O87" s="179"/>
      <c r="P87" s="180"/>
      <c r="Q87" s="168"/>
      <c r="R87" s="169"/>
      <c r="S87" s="189"/>
      <c r="T87" s="182"/>
      <c r="U87" s="183"/>
      <c r="V87" s="184"/>
      <c r="W87" s="185"/>
      <c r="X87" s="185"/>
      <c r="Y87" s="18">
        <v>9306</v>
      </c>
      <c r="Z87" s="18">
        <v>9301</v>
      </c>
      <c r="AA87" s="18"/>
      <c r="AB87" s="19"/>
      <c r="AC87" s="20"/>
      <c r="AD87" s="21"/>
      <c r="AE87" s="22"/>
      <c r="AF87" s="22"/>
      <c r="AG87" s="22"/>
      <c r="AH87" s="160"/>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34"/>
    </row>
    <row r="88" spans="1:92" s="1" customFormat="1" ht="12.75">
      <c r="A88" s="70"/>
      <c r="B88" s="89"/>
      <c r="C88" s="210" t="s">
        <v>372</v>
      </c>
      <c r="D88" s="73"/>
      <c r="E88" s="125"/>
      <c r="F88" s="163"/>
      <c r="G88" s="127"/>
      <c r="H88" s="128"/>
      <c r="I88" s="113"/>
      <c r="J88" s="78"/>
      <c r="K88" s="250"/>
      <c r="L88" s="164"/>
      <c r="M88" s="177"/>
      <c r="N88" s="178"/>
      <c r="O88" s="179"/>
      <c r="P88" s="113"/>
      <c r="Q88" s="180"/>
      <c r="R88" s="181"/>
      <c r="S88" s="189"/>
      <c r="T88" s="58"/>
      <c r="U88" s="59"/>
      <c r="V88" s="60"/>
      <c r="W88" s="61"/>
      <c r="X88" s="61"/>
      <c r="Y88" s="170"/>
      <c r="Z88" s="170"/>
      <c r="AA88" s="18"/>
      <c r="AB88" s="19"/>
      <c r="AC88" s="20"/>
      <c r="AD88" s="21"/>
      <c r="AE88" s="22"/>
      <c r="AF88" s="22"/>
      <c r="AG88" s="22"/>
      <c r="AH88" s="160"/>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34"/>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row>
    <row r="89" spans="1:92" s="1" customFormat="1" ht="12.75">
      <c r="A89" s="300">
        <v>33</v>
      </c>
      <c r="B89" s="89" t="s">
        <v>373</v>
      </c>
      <c r="C89" s="210" t="s">
        <v>374</v>
      </c>
      <c r="D89" s="78" t="s">
        <v>375</v>
      </c>
      <c r="E89" s="125">
        <f>TEChuilelégère</f>
        <v>0</v>
      </c>
      <c r="F89" s="163"/>
      <c r="G89" s="217" t="s">
        <v>376</v>
      </c>
      <c r="H89" s="71" t="s">
        <v>377</v>
      </c>
      <c r="I89" s="113">
        <f>VFEA</f>
        <v>26.26</v>
      </c>
      <c r="J89" s="78" t="s">
        <v>378</v>
      </c>
      <c r="K89" s="218">
        <f>ROUND(I89*TEChuilelégère,2)</f>
        <v>1.23</v>
      </c>
      <c r="L89" s="163"/>
      <c r="M89" s="177">
        <f>TIEA</f>
        <v>32.36</v>
      </c>
      <c r="N89" s="178"/>
      <c r="O89" s="179" t="str">
        <f>P</f>
        <v>. . .</v>
      </c>
      <c r="P89" s="113" t="str">
        <f>"(18)"</f>
        <v>(18)</v>
      </c>
      <c r="Q89" s="180">
        <f>SUM(I89:P89)*19.6%</f>
        <v>11.730599999999999</v>
      </c>
      <c r="R89" s="181">
        <f>SUM(I89:P89)*13%</f>
        <v>7.780499999999999</v>
      </c>
      <c r="S89" s="57"/>
      <c r="T89" s="58">
        <v>5708</v>
      </c>
      <c r="U89" s="59"/>
      <c r="V89" s="11">
        <v>5727</v>
      </c>
      <c r="W89" s="219">
        <v>5909</v>
      </c>
      <c r="X89" s="301"/>
      <c r="Y89" s="170"/>
      <c r="Z89" s="170"/>
      <c r="AA89" s="170"/>
      <c r="AB89" s="19"/>
      <c r="AC89" s="20"/>
      <c r="AD89" s="71"/>
      <c r="AE89" s="89"/>
      <c r="AF89" s="89"/>
      <c r="AG89" s="89"/>
      <c r="AH89" s="160"/>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34"/>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row>
    <row r="90" spans="1:92" s="1" customFormat="1" ht="12.75">
      <c r="A90" s="70"/>
      <c r="B90" s="89"/>
      <c r="C90" s="210" t="s">
        <v>379</v>
      </c>
      <c r="D90" s="73"/>
      <c r="E90" s="125"/>
      <c r="F90" s="163"/>
      <c r="G90" s="127"/>
      <c r="H90" s="128"/>
      <c r="I90" s="113"/>
      <c r="J90" s="78"/>
      <c r="K90" s="250"/>
      <c r="L90" s="164"/>
      <c r="M90" s="177"/>
      <c r="N90" s="178"/>
      <c r="O90" s="179"/>
      <c r="P90" s="113"/>
      <c r="Q90" s="180"/>
      <c r="R90" s="181"/>
      <c r="S90" s="57"/>
      <c r="T90" s="182"/>
      <c r="U90" s="183"/>
      <c r="V90" s="184"/>
      <c r="W90" s="185"/>
      <c r="X90" s="185"/>
      <c r="Y90" s="170"/>
      <c r="Z90" s="170"/>
      <c r="AA90" s="170"/>
      <c r="AB90" s="19"/>
      <c r="AC90" s="20"/>
      <c r="AD90" s="71"/>
      <c r="AE90" s="89"/>
      <c r="AF90" s="89"/>
      <c r="AG90" s="89"/>
      <c r="AH90" s="256"/>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34"/>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row>
    <row r="91" spans="1:92" s="1" customFormat="1" ht="12.75">
      <c r="A91" s="70"/>
      <c r="B91" s="89"/>
      <c r="C91" s="210" t="s">
        <v>380</v>
      </c>
      <c r="D91" s="302"/>
      <c r="E91" s="303"/>
      <c r="F91" s="34"/>
      <c r="G91" s="304"/>
      <c r="H91" s="304"/>
      <c r="I91" s="305"/>
      <c r="J91" s="305"/>
      <c r="K91" s="306"/>
      <c r="L91" s="306"/>
      <c r="M91" s="307"/>
      <c r="N91" s="308"/>
      <c r="O91" s="309"/>
      <c r="P91" s="305"/>
      <c r="Q91" s="310"/>
      <c r="R91" s="311"/>
      <c r="S91" s="189"/>
      <c r="T91" s="182"/>
      <c r="U91" s="183"/>
      <c r="V91" s="184"/>
      <c r="W91" s="185"/>
      <c r="X91" s="185"/>
      <c r="Y91" s="312">
        <v>5928</v>
      </c>
      <c r="Z91" s="170">
        <v>9301</v>
      </c>
      <c r="AA91" s="170"/>
      <c r="AB91" s="19"/>
      <c r="AC91" s="20"/>
      <c r="AD91" s="71"/>
      <c r="AE91" s="89"/>
      <c r="AF91" s="89"/>
      <c r="AG91" s="89"/>
      <c r="AH91" s="256"/>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34"/>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row>
    <row r="92" spans="1:92" s="1" customFormat="1" ht="12.75">
      <c r="A92" s="70"/>
      <c r="B92" s="89"/>
      <c r="C92" s="210" t="s">
        <v>381</v>
      </c>
      <c r="D92" s="73"/>
      <c r="E92" s="125"/>
      <c r="F92" s="163"/>
      <c r="G92" s="127"/>
      <c r="H92" s="128"/>
      <c r="I92" s="113"/>
      <c r="J92" s="78"/>
      <c r="K92" s="250"/>
      <c r="L92" s="164"/>
      <c r="M92" s="177"/>
      <c r="N92" s="178"/>
      <c r="O92" s="179"/>
      <c r="P92" s="113"/>
      <c r="Q92" s="180"/>
      <c r="R92" s="221"/>
      <c r="S92" s="189"/>
      <c r="T92" s="9"/>
      <c r="U92" s="183"/>
      <c r="V92" s="184"/>
      <c r="W92" s="185"/>
      <c r="X92" s="185"/>
      <c r="Y92" s="170">
        <v>4004</v>
      </c>
      <c r="Z92" s="170">
        <v>4006</v>
      </c>
      <c r="AA92" s="170">
        <v>9301</v>
      </c>
      <c r="AB92" s="19"/>
      <c r="AC92" s="20"/>
      <c r="AD92" s="71"/>
      <c r="AE92" s="89"/>
      <c r="AF92" s="89"/>
      <c r="AG92" s="89"/>
      <c r="AH92" s="256"/>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34"/>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row>
    <row r="93" spans="1:92" s="316" customFormat="1" ht="12.75">
      <c r="A93" s="70">
        <v>34</v>
      </c>
      <c r="B93" s="89" t="s">
        <v>382</v>
      </c>
      <c r="C93" s="210" t="s">
        <v>383</v>
      </c>
      <c r="D93" s="73" t="s">
        <v>384</v>
      </c>
      <c r="E93" s="125">
        <f>TEChuilelégère</f>
        <v>0</v>
      </c>
      <c r="F93" s="163"/>
      <c r="G93" s="127" t="s">
        <v>385</v>
      </c>
      <c r="H93" s="128" t="s">
        <v>386</v>
      </c>
      <c r="I93" s="113">
        <f>vfspb</f>
        <v>26.26</v>
      </c>
      <c r="J93" s="78" t="s">
        <v>387</v>
      </c>
      <c r="K93" s="250">
        <f>ROUND(I93*TEChuilelégère,2)</f>
        <v>1.23</v>
      </c>
      <c r="L93" s="164"/>
      <c r="M93" s="177">
        <f>TISP</f>
        <v>58.92</v>
      </c>
      <c r="N93" s="178" t="s">
        <v>388</v>
      </c>
      <c r="O93" s="179" t="str">
        <f>P</f>
        <v>. . .</v>
      </c>
      <c r="P93" s="113" t="str">
        <f>"(18)"</f>
        <v>(18)</v>
      </c>
      <c r="Q93" s="180">
        <f>TVASPMETRO</f>
        <v>16.93636</v>
      </c>
      <c r="R93" s="221">
        <f>TVASPCORSE</f>
        <v>11.103299999999999</v>
      </c>
      <c r="S93" s="189"/>
      <c r="T93" s="182">
        <v>5720</v>
      </c>
      <c r="U93" s="183">
        <v>5716</v>
      </c>
      <c r="V93" s="184">
        <v>5727</v>
      </c>
      <c r="W93" s="12">
        <v>5928</v>
      </c>
      <c r="X93" s="12"/>
      <c r="Y93" s="313"/>
      <c r="Z93" s="313"/>
      <c r="AA93" s="314"/>
      <c r="AB93" s="315"/>
      <c r="AC93" s="20"/>
      <c r="AD93" s="71"/>
      <c r="AE93" s="89"/>
      <c r="AF93" s="89"/>
      <c r="AG93" s="89"/>
      <c r="AH93" s="256"/>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row>
    <row r="94" spans="1:92" s="1" customFormat="1" ht="12.75">
      <c r="A94" s="70">
        <v>35</v>
      </c>
      <c r="B94" s="317" t="s">
        <v>389</v>
      </c>
      <c r="C94" s="210" t="s">
        <v>390</v>
      </c>
      <c r="D94" s="78" t="s">
        <v>391</v>
      </c>
      <c r="E94" s="125">
        <f>TEChuilelégère</f>
        <v>0</v>
      </c>
      <c r="F94" s="163"/>
      <c r="G94" s="127" t="s">
        <v>392</v>
      </c>
      <c r="H94" s="128" t="s">
        <v>393</v>
      </c>
      <c r="I94" s="113" t="str">
        <f>R</f>
        <v>Réelle</v>
      </c>
      <c r="J94" s="78" t="s">
        <v>394</v>
      </c>
      <c r="K94" s="318">
        <f>TEChuilelégère</f>
        <v>0</v>
      </c>
      <c r="L94" s="164"/>
      <c r="M94" s="319" t="str">
        <f>"(9)"</f>
        <v>(9)</v>
      </c>
      <c r="N94" s="320"/>
      <c r="O94" s="321" t="str">
        <f>P</f>
        <v>. . .</v>
      </c>
      <c r="P94" s="113" t="str">
        <f>P</f>
        <v>. . .</v>
      </c>
      <c r="Q94" s="113" t="str">
        <f>VI</f>
        <v>(25)</v>
      </c>
      <c r="R94" s="193" t="str">
        <f>VI</f>
        <v>(25)</v>
      </c>
      <c r="S94" s="189"/>
      <c r="T94" s="182">
        <v>5717</v>
      </c>
      <c r="U94" s="183"/>
      <c r="V94" s="11"/>
      <c r="W94" s="185" t="str">
        <f>t</f>
        <v>TVO</v>
      </c>
      <c r="X94" s="185"/>
      <c r="Y94" s="13"/>
      <c r="Z94" s="13"/>
      <c r="AA94" s="18"/>
      <c r="AB94" s="322"/>
      <c r="AC94" s="19"/>
      <c r="AD94" s="20"/>
      <c r="AE94" s="71"/>
      <c r="AF94" s="89"/>
      <c r="AG94" s="89"/>
      <c r="AH94" s="89"/>
      <c r="AI94" s="256"/>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34"/>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row>
    <row r="95" spans="1:92" s="353" customFormat="1" ht="36" customHeight="1">
      <c r="A95" s="323"/>
      <c r="B95" s="324"/>
      <c r="C95" s="325" t="s">
        <v>395</v>
      </c>
      <c r="D95" s="326">
        <f>TISP-1</f>
        <v>57.92</v>
      </c>
      <c r="E95" s="327" t="s">
        <v>396</v>
      </c>
      <c r="F95" s="328"/>
      <c r="G95" s="329"/>
      <c r="H95" s="329"/>
      <c r="I95" s="330"/>
      <c r="J95" s="330"/>
      <c r="K95" s="331" t="s">
        <v>397</v>
      </c>
      <c r="L95" s="332"/>
      <c r="M95" s="333"/>
      <c r="N95" s="333"/>
      <c r="O95" s="334"/>
      <c r="P95" s="334"/>
      <c r="Q95" s="335">
        <f>TIARS-1</f>
        <v>62.96</v>
      </c>
      <c r="R95" s="336" t="s">
        <v>398</v>
      </c>
      <c r="S95" s="337"/>
      <c r="T95" s="338"/>
      <c r="U95" s="339"/>
      <c r="V95" s="340"/>
      <c r="W95" s="341"/>
      <c r="X95" s="341"/>
      <c r="Y95" s="342">
        <v>9301</v>
      </c>
      <c r="Z95" s="343"/>
      <c r="AA95" s="344"/>
      <c r="AB95" s="345"/>
      <c r="AC95" s="346"/>
      <c r="AD95" s="347"/>
      <c r="AE95" s="348"/>
      <c r="AF95" s="348"/>
      <c r="AG95" s="348"/>
      <c r="AH95" s="349"/>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1"/>
      <c r="BH95" s="352"/>
      <c r="BI95" s="352"/>
      <c r="BJ95" s="352"/>
      <c r="BK95" s="352"/>
      <c r="BL95" s="352"/>
      <c r="BM95" s="352"/>
      <c r="BN95" s="352"/>
      <c r="BO95" s="352"/>
      <c r="BP95" s="352"/>
      <c r="BQ95" s="352"/>
      <c r="BR95" s="352"/>
      <c r="BS95" s="352"/>
      <c r="BT95" s="352"/>
      <c r="BU95" s="352"/>
      <c r="BV95" s="352"/>
      <c r="BW95" s="352"/>
      <c r="BX95" s="352"/>
      <c r="BY95" s="352"/>
      <c r="BZ95" s="352"/>
      <c r="CA95" s="352"/>
      <c r="CB95" s="352"/>
      <c r="CC95" s="352"/>
      <c r="CD95" s="352"/>
      <c r="CE95" s="352"/>
      <c r="CF95" s="352"/>
      <c r="CG95" s="352"/>
      <c r="CH95" s="352"/>
      <c r="CI95" s="352"/>
      <c r="CJ95" s="352"/>
      <c r="CK95" s="352"/>
      <c r="CL95" s="352"/>
      <c r="CM95" s="352"/>
      <c r="CN95" s="352"/>
    </row>
    <row r="96" spans="1:92" s="1" customFormat="1" ht="42" customHeight="1">
      <c r="A96" s="238"/>
      <c r="B96" s="354"/>
      <c r="C96" s="355" t="s">
        <v>399</v>
      </c>
      <c r="D96" s="356"/>
      <c r="E96" s="357"/>
      <c r="F96" s="358"/>
      <c r="G96" s="359"/>
      <c r="H96" s="360"/>
      <c r="I96" s="361"/>
      <c r="J96" s="361"/>
      <c r="K96" s="362"/>
      <c r="L96" s="362"/>
      <c r="M96" s="363"/>
      <c r="N96" s="364"/>
      <c r="O96" s="365"/>
      <c r="P96" s="305"/>
      <c r="Q96" s="366"/>
      <c r="R96" s="367"/>
      <c r="S96" s="368"/>
      <c r="T96" s="9"/>
      <c r="U96" s="183"/>
      <c r="V96" s="11"/>
      <c r="W96" s="12"/>
      <c r="X96" s="12"/>
      <c r="Y96" s="369">
        <v>9109</v>
      </c>
      <c r="Z96" s="369">
        <v>9301</v>
      </c>
      <c r="AA96" s="370">
        <v>5720</v>
      </c>
      <c r="AB96" s="19"/>
      <c r="AC96" s="14"/>
      <c r="AD96" s="71"/>
      <c r="AE96" s="89"/>
      <c r="AF96" s="89"/>
      <c r="AG96" s="89"/>
      <c r="AH96" s="256"/>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34"/>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row>
    <row r="97" spans="1:92" s="1" customFormat="1" ht="27.75">
      <c r="A97" s="371">
        <v>36</v>
      </c>
      <c r="B97" s="372" t="s">
        <v>400</v>
      </c>
      <c r="C97" s="373" t="s">
        <v>401</v>
      </c>
      <c r="D97" s="374" t="s">
        <v>402</v>
      </c>
      <c r="E97" s="375">
        <f>TEChuilelégère</f>
        <v>0</v>
      </c>
      <c r="F97" s="376"/>
      <c r="G97" s="377" t="s">
        <v>403</v>
      </c>
      <c r="H97" s="378" t="s">
        <v>404</v>
      </c>
      <c r="I97" s="379">
        <f>VFARS</f>
        <v>26.26</v>
      </c>
      <c r="J97" s="380" t="s">
        <v>405</v>
      </c>
      <c r="K97" s="381">
        <f>ROUND(I97*TEChuilelégère,2)</f>
        <v>1.23</v>
      </c>
      <c r="L97" s="382"/>
      <c r="M97" s="383">
        <f>TIARS</f>
        <v>63.96</v>
      </c>
      <c r="N97" s="384" t="s">
        <v>406</v>
      </c>
      <c r="O97" s="385" t="str">
        <f>P</f>
        <v>. . .</v>
      </c>
      <c r="P97" s="379" t="str">
        <f>"(18)"</f>
        <v>(18)</v>
      </c>
      <c r="Q97" s="386">
        <f>SUM(I97:P97)*19.6%</f>
        <v>17.924200000000003</v>
      </c>
      <c r="R97" s="387">
        <f>(SUM(I97:P97)-1)*13%</f>
        <v>11.758500000000002</v>
      </c>
      <c r="S97" s="388"/>
      <c r="T97" s="389">
        <v>5706</v>
      </c>
      <c r="U97" s="390">
        <v>5720</v>
      </c>
      <c r="V97" s="391">
        <v>5727</v>
      </c>
      <c r="W97" s="392">
        <v>5923</v>
      </c>
      <c r="X97" s="392"/>
      <c r="Y97" s="13">
        <v>9301</v>
      </c>
      <c r="Z97" s="13">
        <v>5720</v>
      </c>
      <c r="AA97" s="13"/>
      <c r="AB97" s="63"/>
      <c r="AC97" s="159"/>
      <c r="AD97" s="132"/>
      <c r="AE97" s="34"/>
      <c r="AF97" s="34"/>
      <c r="AG97" s="34"/>
      <c r="AH97" s="34"/>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34"/>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row>
    <row r="98" spans="1:92" s="1" customFormat="1" ht="36.75">
      <c r="A98" s="371">
        <v>37</v>
      </c>
      <c r="B98" s="393" t="s">
        <v>407</v>
      </c>
      <c r="C98" s="394" t="s">
        <v>408</v>
      </c>
      <c r="D98" s="374" t="s">
        <v>409</v>
      </c>
      <c r="E98" s="375">
        <f>TEChuilelégère</f>
        <v>0</v>
      </c>
      <c r="F98" s="376"/>
      <c r="G98" s="377" t="s">
        <v>410</v>
      </c>
      <c r="H98" s="378" t="s">
        <v>411</v>
      </c>
      <c r="I98" s="379">
        <f>VFARS</f>
        <v>26.26</v>
      </c>
      <c r="J98" s="380" t="s">
        <v>412</v>
      </c>
      <c r="K98" s="381">
        <f>ROUND(I98*TEChuilelégère,2)</f>
        <v>1.23</v>
      </c>
      <c r="L98" s="382"/>
      <c r="M98" s="383">
        <f>TIARS</f>
        <v>63.96</v>
      </c>
      <c r="N98" s="384" t="s">
        <v>413</v>
      </c>
      <c r="O98" s="385" t="str">
        <f>P</f>
        <v>. . .</v>
      </c>
      <c r="P98" s="379" t="str">
        <f>"(18)"</f>
        <v>(18)</v>
      </c>
      <c r="Q98" s="386">
        <f>TVAARSMETRO</f>
        <v>17.924200000000003</v>
      </c>
      <c r="R98" s="387">
        <f>TVAARSCORSE</f>
        <v>11.758500000000002</v>
      </c>
      <c r="S98" s="189"/>
      <c r="T98" s="389">
        <v>5706</v>
      </c>
      <c r="U98" s="390"/>
      <c r="V98" s="395">
        <v>5727</v>
      </c>
      <c r="W98" s="396">
        <v>5923</v>
      </c>
      <c r="X98" s="396"/>
      <c r="Y98" s="13">
        <v>4004</v>
      </c>
      <c r="Z98" s="13">
        <v>4006</v>
      </c>
      <c r="AA98" s="13">
        <v>9301</v>
      </c>
      <c r="AB98" s="237"/>
      <c r="AC98" s="159"/>
      <c r="AD98" s="132"/>
      <c r="AE98" s="34"/>
      <c r="AF98" s="34"/>
      <c r="AG98" s="34"/>
      <c r="AH98" s="34"/>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34"/>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row>
    <row r="99" spans="1:92" s="1" customFormat="1" ht="12.75">
      <c r="A99" s="397">
        <v>38</v>
      </c>
      <c r="B99" s="398" t="s">
        <v>414</v>
      </c>
      <c r="C99" s="213" t="s">
        <v>415</v>
      </c>
      <c r="D99" s="70" t="s">
        <v>416</v>
      </c>
      <c r="E99" s="125">
        <f>TEChuilelégère</f>
        <v>0</v>
      </c>
      <c r="F99" s="399"/>
      <c r="G99" s="217" t="s">
        <v>417</v>
      </c>
      <c r="H99" s="71" t="s">
        <v>418</v>
      </c>
      <c r="I99" s="113">
        <f>vfspb</f>
        <v>26.26</v>
      </c>
      <c r="J99" s="78" t="s">
        <v>419</v>
      </c>
      <c r="K99" s="218">
        <f>ROUND(I99*TEChuilelégère,2)</f>
        <v>1.23</v>
      </c>
      <c r="L99" s="163"/>
      <c r="M99" s="177">
        <f>TISP</f>
        <v>58.92</v>
      </c>
      <c r="N99" s="178" t="s">
        <v>420</v>
      </c>
      <c r="O99" s="179" t="str">
        <f>P</f>
        <v>. . .</v>
      </c>
      <c r="P99" s="113" t="str">
        <f>"(18)"</f>
        <v>(18)</v>
      </c>
      <c r="Q99" s="180">
        <f>SUM(I99:P99)*19.6%</f>
        <v>16.93636</v>
      </c>
      <c r="R99" s="181">
        <f>(SUM(I99:P99)-1)*13%</f>
        <v>11.103299999999999</v>
      </c>
      <c r="S99" s="189"/>
      <c r="T99" s="400">
        <v>5735</v>
      </c>
      <c r="U99" s="401"/>
      <c r="V99" s="11">
        <v>5727</v>
      </c>
      <c r="W99" s="402">
        <v>5928</v>
      </c>
      <c r="X99" s="402"/>
      <c r="Y99" s="13"/>
      <c r="Z99" s="13"/>
      <c r="AA99" s="13"/>
      <c r="AB99" s="237"/>
      <c r="AC99" s="159"/>
      <c r="AD99" s="132"/>
      <c r="AE99" s="34"/>
      <c r="AF99" s="34"/>
      <c r="AG99" s="34"/>
      <c r="AH99" s="34"/>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34"/>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row>
    <row r="100" spans="1:92" s="1" customFormat="1" ht="21" customHeight="1">
      <c r="A100" s="397">
        <v>39</v>
      </c>
      <c r="B100" s="398" t="s">
        <v>421</v>
      </c>
      <c r="C100" s="213" t="s">
        <v>422</v>
      </c>
      <c r="D100" s="70" t="s">
        <v>423</v>
      </c>
      <c r="E100" s="125">
        <f>TEChuilelégère</f>
        <v>0</v>
      </c>
      <c r="F100" s="399"/>
      <c r="G100" s="127" t="s">
        <v>424</v>
      </c>
      <c r="H100" s="128" t="s">
        <v>425</v>
      </c>
      <c r="I100" s="113" t="str">
        <f>R</f>
        <v>Réelle</v>
      </c>
      <c r="J100" s="78" t="s">
        <v>426</v>
      </c>
      <c r="K100" s="318">
        <f>TEChuilelégère</f>
        <v>0</v>
      </c>
      <c r="L100" s="164"/>
      <c r="M100" s="177" t="str">
        <f>"(9)"</f>
        <v>(9)</v>
      </c>
      <c r="N100" s="178"/>
      <c r="O100" s="179" t="str">
        <f>P</f>
        <v>. . .</v>
      </c>
      <c r="P100" s="113" t="str">
        <f>P</f>
        <v>. . .</v>
      </c>
      <c r="Q100" s="113" t="str">
        <f>VI</f>
        <v>(25)</v>
      </c>
      <c r="R100" s="193" t="str">
        <f>VI</f>
        <v>(25)</v>
      </c>
      <c r="S100" s="403"/>
      <c r="T100" s="404">
        <v>5717</v>
      </c>
      <c r="U100" s="405"/>
      <c r="V100" s="11"/>
      <c r="W100" s="12" t="str">
        <f>t</f>
        <v>TVO</v>
      </c>
      <c r="X100" s="12"/>
      <c r="Y100" s="170">
        <v>5727</v>
      </c>
      <c r="Z100" s="13">
        <v>9301</v>
      </c>
      <c r="AA100" s="13">
        <v>5720</v>
      </c>
      <c r="AB100" s="237"/>
      <c r="AC100" s="20"/>
      <c r="AD100" s="132"/>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row>
    <row r="101" spans="1:92" s="1" customFormat="1" ht="12.75">
      <c r="A101" s="406"/>
      <c r="B101" s="213"/>
      <c r="C101" s="210" t="s">
        <v>427</v>
      </c>
      <c r="D101" s="407"/>
      <c r="E101" s="303"/>
      <c r="F101" s="408"/>
      <c r="G101" s="304"/>
      <c r="H101" s="304"/>
      <c r="I101" s="305"/>
      <c r="J101" s="305"/>
      <c r="K101" s="306"/>
      <c r="L101" s="306"/>
      <c r="M101" s="307"/>
      <c r="N101" s="308"/>
      <c r="O101" s="309"/>
      <c r="P101" s="305"/>
      <c r="Q101" s="310"/>
      <c r="R101" s="311"/>
      <c r="S101" s="403"/>
      <c r="T101" s="404"/>
      <c r="U101" s="405"/>
      <c r="V101" s="11"/>
      <c r="W101" s="12"/>
      <c r="X101" s="12"/>
      <c r="Y101" s="170"/>
      <c r="Z101" s="13"/>
      <c r="AA101" s="170"/>
      <c r="AB101" s="19"/>
      <c r="AC101" s="20"/>
      <c r="AD101" s="132"/>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row>
    <row r="102" spans="1:92" s="1" customFormat="1" ht="36" customHeight="1">
      <c r="A102" s="371">
        <v>40</v>
      </c>
      <c r="B102" s="393" t="s">
        <v>428</v>
      </c>
      <c r="C102" s="394" t="s">
        <v>429</v>
      </c>
      <c r="D102" s="409" t="s">
        <v>430</v>
      </c>
      <c r="E102" s="264">
        <f>TEChuilelégère</f>
        <v>0</v>
      </c>
      <c r="F102" s="410"/>
      <c r="G102" s="266" t="s">
        <v>431</v>
      </c>
      <c r="H102" s="267" t="s">
        <v>432</v>
      </c>
      <c r="I102" s="294">
        <f>VFARS</f>
        <v>26.26</v>
      </c>
      <c r="J102" s="268" t="s">
        <v>433</v>
      </c>
      <c r="K102" s="411">
        <f>ROUND(I102*TEChuilelégère,2)</f>
        <v>1.23</v>
      </c>
      <c r="L102" s="269"/>
      <c r="M102" s="270">
        <f>TIARS</f>
        <v>63.96</v>
      </c>
      <c r="N102" s="271" t="s">
        <v>434</v>
      </c>
      <c r="O102" s="179" t="str">
        <f>P</f>
        <v>. . .</v>
      </c>
      <c r="P102" s="294" t="str">
        <f>"(18)"</f>
        <v>(18)</v>
      </c>
      <c r="Q102" s="293">
        <f>TVAARSMETRO</f>
        <v>17.924200000000003</v>
      </c>
      <c r="R102" s="412">
        <f>TVAARSCORSE</f>
        <v>11.758500000000002</v>
      </c>
      <c r="S102" s="388"/>
      <c r="T102" s="182">
        <v>5737</v>
      </c>
      <c r="U102" s="183"/>
      <c r="V102" s="184">
        <v>5727</v>
      </c>
      <c r="W102" s="190">
        <v>5923</v>
      </c>
      <c r="X102" s="190"/>
      <c r="Y102" s="413">
        <v>5720</v>
      </c>
      <c r="Z102" s="413">
        <v>9109</v>
      </c>
      <c r="AA102" s="413">
        <v>9301</v>
      </c>
      <c r="AB102" s="14"/>
      <c r="AC102" s="14"/>
      <c r="AD102" s="132"/>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row>
    <row r="103" spans="1:92" s="1" customFormat="1" ht="12.75">
      <c r="A103" s="261"/>
      <c r="B103" s="262"/>
      <c r="C103" s="394"/>
      <c r="D103" s="409"/>
      <c r="E103" s="264"/>
      <c r="F103" s="410"/>
      <c r="G103" s="266"/>
      <c r="H103" s="267"/>
      <c r="I103" s="294"/>
      <c r="J103" s="268"/>
      <c r="K103" s="411"/>
      <c r="L103" s="269"/>
      <c r="M103" s="270"/>
      <c r="N103" s="271"/>
      <c r="O103" s="179"/>
      <c r="P103" s="294"/>
      <c r="Q103" s="293"/>
      <c r="R103" s="412"/>
      <c r="S103" s="388"/>
      <c r="T103" s="182"/>
      <c r="U103" s="183"/>
      <c r="V103" s="184"/>
      <c r="W103" s="190"/>
      <c r="X103" s="190"/>
      <c r="Y103" s="414"/>
      <c r="Z103" s="413"/>
      <c r="AA103" s="413"/>
      <c r="AB103" s="19"/>
      <c r="AC103" s="20"/>
      <c r="AD103" s="132"/>
      <c r="AE103" s="34"/>
      <c r="AF103" s="34"/>
      <c r="AG103" s="34"/>
      <c r="AH103" s="34"/>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34"/>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row>
    <row r="104" spans="1:92" s="1" customFormat="1" ht="36.75">
      <c r="A104" s="371">
        <v>41</v>
      </c>
      <c r="B104" s="372" t="s">
        <v>435</v>
      </c>
      <c r="C104" s="394" t="s">
        <v>436</v>
      </c>
      <c r="D104" s="374" t="s">
        <v>437</v>
      </c>
      <c r="E104" s="375">
        <f>TEChuilelégère</f>
        <v>0</v>
      </c>
      <c r="F104" s="376"/>
      <c r="G104" s="377" t="s">
        <v>438</v>
      </c>
      <c r="H104" s="378" t="s">
        <v>439</v>
      </c>
      <c r="I104" s="379">
        <f>VFARS</f>
        <v>26.26</v>
      </c>
      <c r="J104" s="380" t="s">
        <v>440</v>
      </c>
      <c r="K104" s="381">
        <f>ROUND(I104*TEChuilelégère,2)</f>
        <v>1.23</v>
      </c>
      <c r="L104" s="382"/>
      <c r="M104" s="383">
        <f>TIARS</f>
        <v>63.96</v>
      </c>
      <c r="N104" s="384" t="s">
        <v>441</v>
      </c>
      <c r="O104" s="385" t="str">
        <f>P</f>
        <v>. . .</v>
      </c>
      <c r="P104" s="379" t="str">
        <f>"(18)"</f>
        <v>(18)</v>
      </c>
      <c r="Q104" s="386">
        <f>TVAARSMETRO</f>
        <v>17.924200000000003</v>
      </c>
      <c r="R104" s="387">
        <f>TVAARSCORSE</f>
        <v>11.758500000000002</v>
      </c>
      <c r="S104" s="388"/>
      <c r="T104" s="415">
        <v>5737</v>
      </c>
      <c r="U104" s="416"/>
      <c r="V104" s="417">
        <v>5727</v>
      </c>
      <c r="W104" s="418">
        <v>5923</v>
      </c>
      <c r="X104" s="418"/>
      <c r="Y104" s="413">
        <v>9301</v>
      </c>
      <c r="Z104" s="419">
        <v>5720</v>
      </c>
      <c r="AA104" s="413"/>
      <c r="AB104" s="19"/>
      <c r="AC104" s="20"/>
      <c r="AD104" s="132"/>
      <c r="AE104" s="34"/>
      <c r="AF104" s="34"/>
      <c r="AG104" s="34"/>
      <c r="AH104" s="34"/>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34"/>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row>
    <row r="105" spans="1:92" s="1" customFormat="1" ht="12.75">
      <c r="A105" s="261"/>
      <c r="B105" s="262"/>
      <c r="C105" s="215"/>
      <c r="D105" s="409"/>
      <c r="E105" s="264"/>
      <c r="F105" s="410"/>
      <c r="G105" s="266"/>
      <c r="H105" s="267"/>
      <c r="I105" s="294"/>
      <c r="J105" s="268"/>
      <c r="K105" s="411"/>
      <c r="L105" s="269"/>
      <c r="M105" s="270"/>
      <c r="N105" s="271"/>
      <c r="O105" s="272"/>
      <c r="P105" s="294"/>
      <c r="Q105" s="293"/>
      <c r="R105" s="412"/>
      <c r="S105" s="189"/>
      <c r="T105" s="415"/>
      <c r="U105" s="416"/>
      <c r="V105" s="417"/>
      <c r="W105" s="420"/>
      <c r="X105" s="420"/>
      <c r="Y105" s="413">
        <v>4004</v>
      </c>
      <c r="Z105" s="413">
        <v>9301</v>
      </c>
      <c r="AA105" s="413">
        <v>4006</v>
      </c>
      <c r="AB105" s="254"/>
      <c r="AC105" s="20"/>
      <c r="AD105" s="132"/>
      <c r="AE105" s="34"/>
      <c r="AF105" s="34"/>
      <c r="AG105" s="34"/>
      <c r="AH105" s="34"/>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34"/>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row>
    <row r="106" spans="1:92" s="1" customFormat="1" ht="12.75">
      <c r="A106" s="70">
        <v>42</v>
      </c>
      <c r="B106" s="89" t="s">
        <v>442</v>
      </c>
      <c r="C106" s="213" t="s">
        <v>443</v>
      </c>
      <c r="D106" s="70" t="s">
        <v>444</v>
      </c>
      <c r="E106" s="125">
        <f>TEChuilelégère</f>
        <v>0</v>
      </c>
      <c r="F106" s="399"/>
      <c r="G106" s="127" t="s">
        <v>445</v>
      </c>
      <c r="H106" s="128" t="s">
        <v>446</v>
      </c>
      <c r="I106" s="113">
        <f>VFARS</f>
        <v>26.26</v>
      </c>
      <c r="J106" s="78" t="s">
        <v>447</v>
      </c>
      <c r="K106" s="250">
        <f>ROUND(I106*TEChuilelégère,2)</f>
        <v>1.23</v>
      </c>
      <c r="L106" s="164"/>
      <c r="M106" s="177">
        <f>TISP</f>
        <v>58.92</v>
      </c>
      <c r="N106" s="178" t="s">
        <v>448</v>
      </c>
      <c r="O106" s="179" t="str">
        <f>P</f>
        <v>. . .</v>
      </c>
      <c r="P106" s="113" t="str">
        <f>"(18)"</f>
        <v>(18)</v>
      </c>
      <c r="Q106" s="180">
        <f>SUM(I106:P106)*19.6%</f>
        <v>16.93636</v>
      </c>
      <c r="R106" s="181">
        <f>(SUM(I106:P106)-1)*13%</f>
        <v>11.103299999999999</v>
      </c>
      <c r="S106" s="189"/>
      <c r="T106" s="415">
        <v>5735</v>
      </c>
      <c r="U106" s="416"/>
      <c r="V106" s="417">
        <v>5727</v>
      </c>
      <c r="W106" s="418">
        <v>5960</v>
      </c>
      <c r="X106" s="418"/>
      <c r="Y106" s="170"/>
      <c r="Z106" s="170"/>
      <c r="AA106" s="413"/>
      <c r="AB106" s="19"/>
      <c r="AC106" s="20"/>
      <c r="AD106" s="132"/>
      <c r="AE106" s="34"/>
      <c r="AF106" s="34"/>
      <c r="AG106" s="34"/>
      <c r="AH106" s="34"/>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34"/>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row>
    <row r="107" spans="1:92" s="1" customFormat="1" ht="12.75">
      <c r="A107" s="70">
        <v>43</v>
      </c>
      <c r="B107" s="89" t="s">
        <v>449</v>
      </c>
      <c r="C107" s="213" t="s">
        <v>450</v>
      </c>
      <c r="D107" s="70" t="s">
        <v>451</v>
      </c>
      <c r="E107" s="125">
        <f>TEChuilelégère</f>
        <v>0</v>
      </c>
      <c r="F107" s="399"/>
      <c r="G107" s="127" t="s">
        <v>452</v>
      </c>
      <c r="H107" s="128" t="s">
        <v>453</v>
      </c>
      <c r="I107" s="113" t="str">
        <f>R</f>
        <v>Réelle</v>
      </c>
      <c r="J107" s="78" t="s">
        <v>454</v>
      </c>
      <c r="K107" s="318">
        <f>TEChuilelégère</f>
        <v>0</v>
      </c>
      <c r="L107" s="164"/>
      <c r="M107" s="177" t="str">
        <f>"(9)"</f>
        <v>(9)</v>
      </c>
      <c r="N107" s="178"/>
      <c r="O107" s="179" t="str">
        <f>P</f>
        <v>. . .</v>
      </c>
      <c r="P107" s="113" t="str">
        <f>P</f>
        <v>. . .</v>
      </c>
      <c r="Q107" s="113" t="str">
        <f>VI</f>
        <v>(25)</v>
      </c>
      <c r="R107" s="193" t="str">
        <f>VI</f>
        <v>(25)</v>
      </c>
      <c r="S107" s="403"/>
      <c r="T107" s="415">
        <v>5717</v>
      </c>
      <c r="U107" s="416"/>
      <c r="V107" s="11"/>
      <c r="W107" s="420" t="str">
        <f>t</f>
        <v>TVO</v>
      </c>
      <c r="X107" s="420"/>
      <c r="Y107" s="170"/>
      <c r="Z107" s="170"/>
      <c r="AA107" s="413"/>
      <c r="AB107" s="19"/>
      <c r="AC107" s="20"/>
      <c r="AD107" s="132"/>
      <c r="AE107" s="34"/>
      <c r="AF107" s="34"/>
      <c r="AG107" s="34"/>
      <c r="AH107" s="34"/>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34"/>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row>
    <row r="108" spans="1:92" s="1" customFormat="1" ht="12.75">
      <c r="A108" s="421"/>
      <c r="B108" s="422"/>
      <c r="C108" s="423"/>
      <c r="D108" s="424"/>
      <c r="E108" s="425"/>
      <c r="F108" s="426"/>
      <c r="G108" s="427"/>
      <c r="H108" s="428"/>
      <c r="I108" s="429"/>
      <c r="J108" s="430"/>
      <c r="K108" s="431"/>
      <c r="L108" s="432"/>
      <c r="M108" s="433"/>
      <c r="N108" s="434"/>
      <c r="O108" s="435"/>
      <c r="P108" s="436"/>
      <c r="Q108" s="437"/>
      <c r="R108" s="438"/>
      <c r="S108" s="403"/>
      <c r="T108" s="182"/>
      <c r="U108" s="183"/>
      <c r="V108" s="184"/>
      <c r="W108" s="185"/>
      <c r="X108" s="185"/>
      <c r="Y108" s="413">
        <v>4004</v>
      </c>
      <c r="Z108" s="170">
        <v>4006</v>
      </c>
      <c r="AA108" s="413">
        <v>9301</v>
      </c>
      <c r="AB108" s="19"/>
      <c r="AC108" s="20"/>
      <c r="AD108" s="132"/>
      <c r="AE108" s="34"/>
      <c r="AF108" s="34"/>
      <c r="AG108" s="34"/>
      <c r="AH108" s="34"/>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34"/>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row>
    <row r="109" spans="1:92" s="1" customFormat="1" ht="12.75">
      <c r="A109" s="70"/>
      <c r="B109" s="89"/>
      <c r="C109" s="210" t="s">
        <v>455</v>
      </c>
      <c r="D109" s="439"/>
      <c r="E109" s="125"/>
      <c r="F109" s="399"/>
      <c r="G109" s="127"/>
      <c r="H109" s="128"/>
      <c r="I109" s="113"/>
      <c r="J109" s="78"/>
      <c r="K109" s="250"/>
      <c r="L109" s="164"/>
      <c r="M109" s="177"/>
      <c r="N109" s="178"/>
      <c r="O109" s="179"/>
      <c r="P109" s="180"/>
      <c r="Q109" s="180"/>
      <c r="R109" s="181"/>
      <c r="S109" s="403"/>
      <c r="T109" s="182"/>
      <c r="U109" s="183"/>
      <c r="V109" s="184"/>
      <c r="W109" s="185"/>
      <c r="X109" s="185"/>
      <c r="Y109" s="413">
        <v>4004</v>
      </c>
      <c r="Z109" s="170">
        <v>4006</v>
      </c>
      <c r="AA109" s="170">
        <v>9301</v>
      </c>
      <c r="AB109" s="19"/>
      <c r="AC109" s="20"/>
      <c r="AD109" s="132"/>
      <c r="AE109" s="34"/>
      <c r="AF109" s="34"/>
      <c r="AG109" s="34"/>
      <c r="AH109" s="34"/>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34"/>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row>
    <row r="110" spans="1:92" s="1" customFormat="1" ht="12.75">
      <c r="A110" s="70">
        <v>44</v>
      </c>
      <c r="B110" s="89" t="s">
        <v>456</v>
      </c>
      <c r="C110" s="210" t="s">
        <v>457</v>
      </c>
      <c r="D110" s="70" t="s">
        <v>458</v>
      </c>
      <c r="E110" s="125">
        <f>TEChuilelégère</f>
        <v>0</v>
      </c>
      <c r="F110" s="399"/>
      <c r="G110" s="127" t="s">
        <v>459</v>
      </c>
      <c r="H110" s="128" t="s">
        <v>460</v>
      </c>
      <c r="I110" s="113" t="str">
        <f>R</f>
        <v>Réelle</v>
      </c>
      <c r="J110" s="78" t="s">
        <v>461</v>
      </c>
      <c r="K110" s="318">
        <f>TEChuilelégère</f>
        <v>0</v>
      </c>
      <c r="L110" s="164"/>
      <c r="M110" s="177" t="str">
        <f>"(9)"</f>
        <v>(9)</v>
      </c>
      <c r="N110" s="178"/>
      <c r="O110" s="179" t="str">
        <f>P</f>
        <v>. . .</v>
      </c>
      <c r="P110" s="113" t="str">
        <f>P</f>
        <v>. . .</v>
      </c>
      <c r="Q110" s="113" t="str">
        <f>VI</f>
        <v>(25)</v>
      </c>
      <c r="R110" s="193" t="str">
        <f>VI</f>
        <v>(25)</v>
      </c>
      <c r="S110" s="403"/>
      <c r="T110" s="415">
        <v>5717</v>
      </c>
      <c r="U110" s="416"/>
      <c r="V110" s="440"/>
      <c r="W110" s="420" t="str">
        <f>t</f>
        <v>TVO</v>
      </c>
      <c r="X110" s="420"/>
      <c r="Y110" s="170"/>
      <c r="Z110" s="170"/>
      <c r="AA110" s="170"/>
      <c r="AB110" s="19"/>
      <c r="AC110" s="20"/>
      <c r="AD110" s="71"/>
      <c r="AE110" s="89"/>
      <c r="AF110" s="89"/>
      <c r="AG110" s="89"/>
      <c r="AH110" s="256"/>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34"/>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row>
    <row r="111" spans="1:92" s="1" customFormat="1" ht="12.75">
      <c r="A111" s="70">
        <v>45</v>
      </c>
      <c r="B111" s="89" t="s">
        <v>462</v>
      </c>
      <c r="C111" s="210" t="s">
        <v>463</v>
      </c>
      <c r="D111" s="70" t="s">
        <v>464</v>
      </c>
      <c r="E111" s="125">
        <f>TEChuilelégère</f>
        <v>0</v>
      </c>
      <c r="F111" s="399"/>
      <c r="G111" s="127" t="s">
        <v>465</v>
      </c>
      <c r="H111" s="128" t="s">
        <v>466</v>
      </c>
      <c r="I111" s="113" t="str">
        <f>R</f>
        <v>Réelle</v>
      </c>
      <c r="J111" s="78" t="s">
        <v>467</v>
      </c>
      <c r="K111" s="318">
        <f>TEChuilelégère</f>
        <v>0</v>
      </c>
      <c r="L111" s="164"/>
      <c r="M111" s="177" t="str">
        <f>"(9)"</f>
        <v>(9)</v>
      </c>
      <c r="N111" s="178"/>
      <c r="O111" s="179" t="str">
        <f>P</f>
        <v>. . .</v>
      </c>
      <c r="P111" s="113" t="str">
        <f>P</f>
        <v>. . .</v>
      </c>
      <c r="Q111" s="113" t="str">
        <f>VI</f>
        <v>(25)</v>
      </c>
      <c r="R111" s="193" t="str">
        <f>VI</f>
        <v>(25)</v>
      </c>
      <c r="S111" s="403"/>
      <c r="T111" s="415">
        <v>5717</v>
      </c>
      <c r="U111" s="416"/>
      <c r="V111" s="11"/>
      <c r="W111" s="420" t="str">
        <f>t</f>
        <v>TVO</v>
      </c>
      <c r="X111" s="420"/>
      <c r="Y111" s="170"/>
      <c r="Z111" s="170"/>
      <c r="AA111" s="441"/>
      <c r="AB111" s="442"/>
      <c r="AC111" s="20"/>
      <c r="AD111" s="71"/>
      <c r="AE111" s="89"/>
      <c r="AF111" s="89"/>
      <c r="AG111" s="89"/>
      <c r="AH111" s="256"/>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34"/>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row>
    <row r="112" spans="1:92" s="1" customFormat="1" ht="12.75">
      <c r="A112" s="70"/>
      <c r="B112" s="89"/>
      <c r="C112" s="210"/>
      <c r="D112" s="439"/>
      <c r="E112" s="125"/>
      <c r="F112" s="399"/>
      <c r="G112" s="127"/>
      <c r="H112" s="128"/>
      <c r="I112" s="113"/>
      <c r="J112" s="78"/>
      <c r="K112" s="250"/>
      <c r="L112" s="164"/>
      <c r="M112" s="177"/>
      <c r="N112" s="178"/>
      <c r="O112" s="179"/>
      <c r="P112" s="113"/>
      <c r="Q112" s="180"/>
      <c r="R112" s="181"/>
      <c r="S112" s="189"/>
      <c r="T112" s="182"/>
      <c r="U112" s="183"/>
      <c r="V112" s="184"/>
      <c r="W112" s="185"/>
      <c r="X112" s="185"/>
      <c r="Y112" s="170"/>
      <c r="Z112" s="170"/>
      <c r="AA112" s="170"/>
      <c r="AB112" s="19"/>
      <c r="AC112" s="20"/>
      <c r="AD112" s="443"/>
      <c r="AE112" s="444"/>
      <c r="AF112" s="444"/>
      <c r="AG112" s="444"/>
      <c r="AH112" s="444"/>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4"/>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row>
    <row r="113" spans="1:92" s="1" customFormat="1" ht="12.75">
      <c r="A113" s="70"/>
      <c r="B113" s="89"/>
      <c r="C113" s="210" t="s">
        <v>468</v>
      </c>
      <c r="D113" s="439"/>
      <c r="E113" s="125"/>
      <c r="F113" s="399"/>
      <c r="G113" s="127"/>
      <c r="H113" s="128"/>
      <c r="I113" s="113"/>
      <c r="J113" s="78"/>
      <c r="K113" s="250"/>
      <c r="L113" s="164"/>
      <c r="M113" s="177"/>
      <c r="N113" s="178"/>
      <c r="O113" s="179"/>
      <c r="P113" s="180"/>
      <c r="Q113" s="180"/>
      <c r="R113" s="181"/>
      <c r="S113" s="189"/>
      <c r="T113" s="182"/>
      <c r="U113" s="183"/>
      <c r="V113" s="184"/>
      <c r="W113" s="185"/>
      <c r="X113" s="185"/>
      <c r="Y113" s="170"/>
      <c r="Z113" s="170"/>
      <c r="AA113" s="170"/>
      <c r="AB113" s="19"/>
      <c r="AC113" s="20"/>
      <c r="AD113" s="446"/>
      <c r="AE113" s="447"/>
      <c r="AF113" s="447"/>
      <c r="AG113" s="447"/>
      <c r="AH113" s="447"/>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row>
    <row r="114" spans="1:92" s="1" customFormat="1" ht="12.75">
      <c r="A114" s="70">
        <v>46</v>
      </c>
      <c r="B114" s="89" t="s">
        <v>469</v>
      </c>
      <c r="C114" s="210" t="s">
        <v>470</v>
      </c>
      <c r="D114" s="439" t="s">
        <v>471</v>
      </c>
      <c r="E114" s="125"/>
      <c r="F114" s="399"/>
      <c r="G114" s="127"/>
      <c r="H114" s="128"/>
      <c r="I114" s="78"/>
      <c r="J114" s="78"/>
      <c r="K114" s="164"/>
      <c r="L114" s="164"/>
      <c r="M114" s="177"/>
      <c r="N114" s="178"/>
      <c r="O114" s="179"/>
      <c r="P114" s="180"/>
      <c r="Q114" s="168"/>
      <c r="R114" s="169"/>
      <c r="S114" s="449"/>
      <c r="T114" s="182"/>
      <c r="U114" s="183"/>
      <c r="V114" s="184"/>
      <c r="W114" s="185"/>
      <c r="X114" s="185"/>
      <c r="Y114" s="18">
        <v>9050</v>
      </c>
      <c r="Z114" s="18">
        <v>9306</v>
      </c>
      <c r="AA114" s="170">
        <v>9301</v>
      </c>
      <c r="AB114" s="19"/>
      <c r="AC114" s="20"/>
      <c r="AD114" s="446"/>
      <c r="AE114" s="447"/>
      <c r="AF114" s="447"/>
      <c r="AG114" s="447"/>
      <c r="AH114" s="447"/>
      <c r="AI114" s="448"/>
      <c r="AJ114" s="448"/>
      <c r="AK114" s="448"/>
      <c r="AL114" s="448"/>
      <c r="AM114" s="448"/>
      <c r="AN114" s="448"/>
      <c r="AO114" s="448"/>
      <c r="AP114" s="448"/>
      <c r="AQ114" s="448"/>
      <c r="AR114" s="448"/>
      <c r="AS114" s="448"/>
      <c r="AT114" s="448"/>
      <c r="AU114" s="448"/>
      <c r="AV114" s="448"/>
      <c r="AW114" s="448"/>
      <c r="AX114" s="448"/>
      <c r="AY114" s="448"/>
      <c r="AZ114" s="448"/>
      <c r="BA114" s="448"/>
      <c r="BB114" s="448"/>
      <c r="BC114" s="448"/>
      <c r="BD114" s="448"/>
      <c r="BE114" s="448"/>
      <c r="BF114" s="448"/>
      <c r="BG114" s="44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row>
    <row r="115" spans="1:92" s="1" customFormat="1" ht="12.75">
      <c r="A115" s="70"/>
      <c r="B115" s="89"/>
      <c r="C115" s="210" t="s">
        <v>472</v>
      </c>
      <c r="D115" s="439"/>
      <c r="E115" s="125"/>
      <c r="F115" s="399"/>
      <c r="G115" s="127"/>
      <c r="H115" s="128"/>
      <c r="I115" s="113"/>
      <c r="J115" s="78"/>
      <c r="K115" s="250"/>
      <c r="L115" s="164"/>
      <c r="M115" s="97"/>
      <c r="N115" s="178"/>
      <c r="O115" s="179"/>
      <c r="P115" s="113"/>
      <c r="Q115" s="168"/>
      <c r="R115" s="169"/>
      <c r="S115" s="189"/>
      <c r="T115" s="182"/>
      <c r="U115" s="183"/>
      <c r="V115" s="184"/>
      <c r="W115" s="185"/>
      <c r="X115" s="185"/>
      <c r="Y115" s="18">
        <v>9055</v>
      </c>
      <c r="Z115" s="18">
        <v>9301</v>
      </c>
      <c r="AA115" s="170"/>
      <c r="AB115" s="19"/>
      <c r="AC115" s="20"/>
      <c r="AD115" s="132"/>
      <c r="AE115" s="34"/>
      <c r="AF115" s="34"/>
      <c r="AG115" s="34"/>
      <c r="AH115" s="34"/>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34"/>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row>
    <row r="116" spans="1:92" s="1" customFormat="1" ht="12.75">
      <c r="A116" s="70"/>
      <c r="B116" s="89"/>
      <c r="C116" s="210" t="s">
        <v>473</v>
      </c>
      <c r="D116" s="70" t="s">
        <v>474</v>
      </c>
      <c r="E116" s="125">
        <f>TEChuilelégère</f>
        <v>0</v>
      </c>
      <c r="F116" s="399"/>
      <c r="G116" s="127" t="s">
        <v>475</v>
      </c>
      <c r="H116" s="128" t="s">
        <v>476</v>
      </c>
      <c r="I116" s="113">
        <f>VFCB</f>
        <v>31.29</v>
      </c>
      <c r="J116" s="78" t="s">
        <v>477</v>
      </c>
      <c r="K116" s="250">
        <f>ROUND(I116*TEChuilelégère,2)</f>
        <v>1.47</v>
      </c>
      <c r="L116" s="164"/>
      <c r="M116" s="97" t="s">
        <v>478</v>
      </c>
      <c r="N116" s="178"/>
      <c r="O116" s="179" t="str">
        <f>P</f>
        <v>. . .</v>
      </c>
      <c r="P116" s="113" t="str">
        <f>"(18)"</f>
        <v>(18)</v>
      </c>
      <c r="Q116" s="168">
        <f>TVACARBUAERONEFmetro</f>
        <v>6.13284</v>
      </c>
      <c r="R116" s="169">
        <f>TVACARBUAERONEFcorse</f>
        <v>4.0677</v>
      </c>
      <c r="S116" s="189"/>
      <c r="T116" s="58"/>
      <c r="U116" s="59"/>
      <c r="V116" s="11">
        <v>5729</v>
      </c>
      <c r="W116" s="219">
        <v>5901</v>
      </c>
      <c r="X116" s="219"/>
      <c r="Y116" s="18">
        <v>4012</v>
      </c>
      <c r="Z116" s="18">
        <v>9301</v>
      </c>
      <c r="AA116" s="170"/>
      <c r="AB116" s="19"/>
      <c r="AC116" s="20"/>
      <c r="AD116" s="132"/>
      <c r="AE116" s="34"/>
      <c r="AF116" s="34"/>
      <c r="AG116" s="34"/>
      <c r="AH116" s="34"/>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34"/>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row>
    <row r="117" spans="1:92" s="1" customFormat="1" ht="12.75">
      <c r="A117" s="70">
        <v>47</v>
      </c>
      <c r="B117" s="89" t="s">
        <v>479</v>
      </c>
      <c r="C117" s="210" t="s">
        <v>480</v>
      </c>
      <c r="D117" s="70" t="s">
        <v>481</v>
      </c>
      <c r="E117" s="125">
        <f>TEChuilelégère</f>
        <v>0</v>
      </c>
      <c r="F117" s="399"/>
      <c r="G117" s="127" t="s">
        <v>482</v>
      </c>
      <c r="H117" s="128" t="s">
        <v>483</v>
      </c>
      <c r="I117" s="113">
        <f>VFCB</f>
        <v>31.29</v>
      </c>
      <c r="J117" s="78" t="s">
        <v>484</v>
      </c>
      <c r="K117" s="250">
        <f>ROUND(I117*TEChuilelégère,2)</f>
        <v>1.47</v>
      </c>
      <c r="L117" s="164"/>
      <c r="M117" s="177">
        <f>TICBSCE</f>
        <v>2.54</v>
      </c>
      <c r="N117" s="178"/>
      <c r="O117" s="179" t="str">
        <f>P</f>
        <v>. . .</v>
      </c>
      <c r="P117" s="113" t="str">
        <f>"(18)"</f>
        <v>(18)</v>
      </c>
      <c r="Q117" s="168">
        <f>SUM(I117:P117)*19.6%</f>
        <v>6.9188</v>
      </c>
      <c r="R117" s="169">
        <f>SUM(I117:P117)*13%</f>
        <v>4.5889999999999995</v>
      </c>
      <c r="S117" s="189"/>
      <c r="T117" s="58">
        <v>5707</v>
      </c>
      <c r="U117" s="59"/>
      <c r="V117" s="60">
        <v>5729</v>
      </c>
      <c r="W117" s="219">
        <v>5919</v>
      </c>
      <c r="X117" s="219"/>
      <c r="Y117" s="18">
        <v>9306</v>
      </c>
      <c r="Z117" s="18">
        <v>9301</v>
      </c>
      <c r="AA117" s="18"/>
      <c r="AB117" s="19"/>
      <c r="AC117" s="20"/>
      <c r="AD117" s="132"/>
      <c r="AE117" s="34"/>
      <c r="AF117" s="34"/>
      <c r="AG117" s="34"/>
      <c r="AH117" s="34"/>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34"/>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row>
    <row r="118" spans="1:92" s="316" customFormat="1" ht="12.75">
      <c r="A118" s="70">
        <v>48</v>
      </c>
      <c r="B118" s="89" t="s">
        <v>485</v>
      </c>
      <c r="C118" s="210" t="s">
        <v>486</v>
      </c>
      <c r="D118" s="70" t="s">
        <v>487</v>
      </c>
      <c r="E118" s="125">
        <f>TEChuilelégère</f>
        <v>0</v>
      </c>
      <c r="F118" s="399"/>
      <c r="G118" s="127" t="s">
        <v>488</v>
      </c>
      <c r="H118" s="128" t="s">
        <v>489</v>
      </c>
      <c r="I118" s="113">
        <f>VFCB</f>
        <v>31.29</v>
      </c>
      <c r="J118" s="78" t="s">
        <v>490</v>
      </c>
      <c r="K118" s="250">
        <f>ROUND(I118*TEChuilelégère,2)</f>
        <v>1.47</v>
      </c>
      <c r="L118" s="164"/>
      <c r="M118" s="97" t="s">
        <v>491</v>
      </c>
      <c r="N118" s="178"/>
      <c r="O118" s="179" t="str">
        <f>P</f>
        <v>. . .</v>
      </c>
      <c r="P118" s="113" t="str">
        <f>P</f>
        <v>. . .</v>
      </c>
      <c r="Q118" s="168">
        <f>SUM(I118:P118)*19.6%</f>
        <v>6.42096</v>
      </c>
      <c r="R118" s="169">
        <f>SUM(I118:P118)*13%</f>
        <v>4.2588</v>
      </c>
      <c r="S118" s="189"/>
      <c r="T118" s="9"/>
      <c r="U118" s="10"/>
      <c r="V118" s="11"/>
      <c r="W118" s="219">
        <v>5946</v>
      </c>
      <c r="X118" s="219"/>
      <c r="Y118" s="313"/>
      <c r="Z118" s="313"/>
      <c r="AA118" s="450"/>
      <c r="AB118" s="315"/>
      <c r="AC118" s="20"/>
      <c r="AD118" s="132"/>
      <c r="AE118" s="34"/>
      <c r="AF118" s="34"/>
      <c r="AG118" s="34"/>
      <c r="AH118" s="34"/>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row>
    <row r="119" spans="1:92" s="1" customFormat="1" ht="12.75">
      <c r="A119" s="222">
        <v>49</v>
      </c>
      <c r="B119" s="223" t="s">
        <v>492</v>
      </c>
      <c r="C119" s="451" t="s">
        <v>493</v>
      </c>
      <c r="D119" s="222" t="s">
        <v>494</v>
      </c>
      <c r="E119" s="226">
        <f>TEChuilelégère</f>
        <v>0</v>
      </c>
      <c r="F119" s="452"/>
      <c r="G119" s="228" t="s">
        <v>495</v>
      </c>
      <c r="H119" s="229" t="s">
        <v>496</v>
      </c>
      <c r="I119" s="235">
        <f>VFCB</f>
        <v>31.29</v>
      </c>
      <c r="J119" s="230" t="s">
        <v>497</v>
      </c>
      <c r="K119" s="453">
        <f>ROUND(I119*TEChuilelégère,2)</f>
        <v>1.47</v>
      </c>
      <c r="L119" s="231"/>
      <c r="M119" s="232">
        <f>TISP</f>
        <v>58.92</v>
      </c>
      <c r="N119" s="233"/>
      <c r="O119" s="234" t="str">
        <f>P</f>
        <v>. . .</v>
      </c>
      <c r="P119" s="235" t="str">
        <f>"(18)"</f>
        <v>(18)</v>
      </c>
      <c r="Q119" s="180">
        <f>SUM(I119:P119)*19.6%</f>
        <v>17.96928</v>
      </c>
      <c r="R119" s="454">
        <f>(SUM(I119:P119))*13%</f>
        <v>11.918400000000002</v>
      </c>
      <c r="S119" s="189"/>
      <c r="T119" s="58">
        <v>5716</v>
      </c>
      <c r="U119" s="59"/>
      <c r="V119" s="60">
        <v>5729</v>
      </c>
      <c r="W119" s="219">
        <v>5905</v>
      </c>
      <c r="X119" s="219"/>
      <c r="Y119" s="18"/>
      <c r="Z119" s="18"/>
      <c r="AA119" s="18"/>
      <c r="AB119" s="19"/>
      <c r="AC119" s="20"/>
      <c r="AD119" s="132"/>
      <c r="AE119" s="34"/>
      <c r="AF119" s="34"/>
      <c r="AG119" s="34"/>
      <c r="AH119" s="34"/>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34"/>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row>
    <row r="120" spans="1:92" s="1" customFormat="1" ht="12.75">
      <c r="A120" s="455"/>
      <c r="B120" s="262"/>
      <c r="C120" s="456" t="s">
        <v>498</v>
      </c>
      <c r="D120" s="457">
        <f>TISP-1</f>
        <v>57.92</v>
      </c>
      <c r="E120" s="458" t="s">
        <v>499</v>
      </c>
      <c r="F120" s="265"/>
      <c r="G120" s="267"/>
      <c r="H120" s="267"/>
      <c r="I120" s="316"/>
      <c r="J120" s="316"/>
      <c r="K120" s="459" t="s">
        <v>500</v>
      </c>
      <c r="L120" s="269"/>
      <c r="M120" s="460"/>
      <c r="N120" s="460"/>
      <c r="O120" s="461"/>
      <c r="P120" s="461"/>
      <c r="Q120" s="335">
        <f>TIARS-1</f>
        <v>62.96</v>
      </c>
      <c r="R120" s="398" t="s">
        <v>501</v>
      </c>
      <c r="S120" s="89"/>
      <c r="T120" s="462"/>
      <c r="U120" s="463"/>
      <c r="V120" s="464"/>
      <c r="W120" s="465"/>
      <c r="X120" s="465"/>
      <c r="Y120" s="18"/>
      <c r="Z120" s="18"/>
      <c r="AA120" s="18"/>
      <c r="AB120" s="19"/>
      <c r="AC120" s="289"/>
      <c r="AD120" s="132"/>
      <c r="AE120" s="34"/>
      <c r="AF120" s="34"/>
      <c r="AG120" s="34"/>
      <c r="AH120" s="34"/>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34"/>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row>
    <row r="121" spans="1:92" s="1" customFormat="1" ht="12.75">
      <c r="A121" s="71"/>
      <c r="B121" s="89"/>
      <c r="C121" s="466" t="s">
        <v>502</v>
      </c>
      <c r="D121" s="316"/>
      <c r="E121" s="467"/>
      <c r="F121" s="468"/>
      <c r="G121" s="469" t="s">
        <v>503</v>
      </c>
      <c r="H121" s="470"/>
      <c r="I121" s="316"/>
      <c r="J121" s="316"/>
      <c r="K121" s="306"/>
      <c r="L121" s="471"/>
      <c r="M121" s="34"/>
      <c r="N121" s="472"/>
      <c r="O121" s="472"/>
      <c r="P121" s="7"/>
      <c r="Q121" s="473"/>
      <c r="R121" s="474"/>
      <c r="S121" s="475"/>
      <c r="T121" s="476"/>
      <c r="U121" s="477"/>
      <c r="V121" s="60"/>
      <c r="W121" s="61"/>
      <c r="X121" s="61"/>
      <c r="Y121" s="18"/>
      <c r="Z121" s="18"/>
      <c r="AA121" s="413"/>
      <c r="AB121" s="254"/>
      <c r="AC121" s="19"/>
      <c r="AD121" s="132"/>
      <c r="AE121" s="34"/>
      <c r="AF121" s="34"/>
      <c r="AG121" s="34"/>
      <c r="AH121" s="34"/>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22"/>
      <c r="BD121" s="160"/>
      <c r="BE121" s="160"/>
      <c r="BF121" s="160"/>
      <c r="BG121" s="34"/>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row>
    <row r="122" spans="1:60" s="7" customFormat="1" ht="12.75">
      <c r="A122" s="238"/>
      <c r="B122" s="239"/>
      <c r="C122" s="478"/>
      <c r="D122" s="244"/>
      <c r="E122" s="242"/>
      <c r="F122" s="243"/>
      <c r="G122" s="94"/>
      <c r="H122" s="95"/>
      <c r="I122" s="244"/>
      <c r="J122" s="244"/>
      <c r="K122" s="245"/>
      <c r="L122" s="245"/>
      <c r="M122" s="246"/>
      <c r="N122" s="247"/>
      <c r="O122" s="248"/>
      <c r="P122" s="479"/>
      <c r="Q122" s="480"/>
      <c r="R122" s="481"/>
      <c r="S122" s="482"/>
      <c r="T122" s="58"/>
      <c r="U122" s="59"/>
      <c r="V122" s="60"/>
      <c r="W122" s="61"/>
      <c r="X122" s="61"/>
      <c r="Y122" s="18">
        <v>9348</v>
      </c>
      <c r="Z122" s="18">
        <v>9301</v>
      </c>
      <c r="AA122" s="18"/>
      <c r="AB122" s="322"/>
      <c r="AC122" s="20"/>
      <c r="AD122" s="20"/>
      <c r="AE122" s="71"/>
      <c r="AF122" s="89"/>
      <c r="AG122" s="89"/>
      <c r="AH122" s="89"/>
      <c r="AI122" s="256"/>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34"/>
    </row>
    <row r="123" spans="1:92" s="1" customFormat="1" ht="12.75">
      <c r="A123" s="483"/>
      <c r="B123" s="89"/>
      <c r="C123" s="210" t="s">
        <v>504</v>
      </c>
      <c r="D123" s="168"/>
      <c r="E123" s="125"/>
      <c r="F123" s="89"/>
      <c r="G123" s="484"/>
      <c r="H123" s="485"/>
      <c r="I123" s="78"/>
      <c r="J123" s="180"/>
      <c r="K123" s="459"/>
      <c r="L123" s="486"/>
      <c r="M123" s="177"/>
      <c r="N123" s="487"/>
      <c r="O123" s="179"/>
      <c r="P123" s="488"/>
      <c r="Q123" s="310"/>
      <c r="R123" s="311"/>
      <c r="S123" s="482"/>
      <c r="T123" s="58"/>
      <c r="U123" s="59"/>
      <c r="V123" s="60"/>
      <c r="W123" s="61"/>
      <c r="X123" s="61"/>
      <c r="Y123" s="13">
        <v>4012</v>
      </c>
      <c r="Z123" s="13">
        <v>9301</v>
      </c>
      <c r="AA123" s="18"/>
      <c r="AB123" s="19"/>
      <c r="AC123" s="20"/>
      <c r="AD123" s="20"/>
      <c r="AE123" s="132"/>
      <c r="AF123" s="34"/>
      <c r="AG123" s="34"/>
      <c r="AH123" s="34"/>
      <c r="AI123" s="34"/>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34"/>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row>
    <row r="124" spans="1:92" s="1" customFormat="1" ht="12.75">
      <c r="A124" s="70">
        <v>50</v>
      </c>
      <c r="B124" s="89" t="s">
        <v>505</v>
      </c>
      <c r="C124" s="210" t="s">
        <v>506</v>
      </c>
      <c r="D124" s="78" t="s">
        <v>507</v>
      </c>
      <c r="E124" s="125">
        <f>TEChuilelégère</f>
        <v>0</v>
      </c>
      <c r="F124" s="163"/>
      <c r="G124" s="217" t="s">
        <v>508</v>
      </c>
      <c r="H124" s="71" t="s">
        <v>509</v>
      </c>
      <c r="I124" s="113">
        <f>vfspb</f>
        <v>26.26</v>
      </c>
      <c r="J124" s="78" t="s">
        <v>510</v>
      </c>
      <c r="K124" s="218">
        <f>ROUND(I124*TEChuilelégère,2)</f>
        <v>1.23</v>
      </c>
      <c r="L124" s="163"/>
      <c r="M124" s="177">
        <f>TISP</f>
        <v>58.92</v>
      </c>
      <c r="N124" s="178"/>
      <c r="O124" s="179" t="str">
        <f>P</f>
        <v>. . .</v>
      </c>
      <c r="P124" s="113" t="str">
        <f>P</f>
        <v>. . .</v>
      </c>
      <c r="Q124" s="168">
        <f>SUM(I124:P124)*19.6%</f>
        <v>16.93636</v>
      </c>
      <c r="R124" s="181">
        <f>(SUM(I124:P124))*13%</f>
        <v>11.2333</v>
      </c>
      <c r="S124" s="8"/>
      <c r="T124" s="58">
        <v>5734</v>
      </c>
      <c r="U124" s="59"/>
      <c r="V124" s="11"/>
      <c r="W124" s="219">
        <v>5966</v>
      </c>
      <c r="X124" s="219"/>
      <c r="Y124" s="170"/>
      <c r="Z124" s="170"/>
      <c r="AA124" s="18"/>
      <c r="AB124" s="19"/>
      <c r="AC124" s="20"/>
      <c r="AD124" s="132"/>
      <c r="AE124" s="34"/>
      <c r="AF124" s="34"/>
      <c r="AG124" s="34"/>
      <c r="AH124" s="34"/>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34"/>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row>
    <row r="125" spans="1:92" s="1" customFormat="1" ht="12.75">
      <c r="A125" s="70">
        <v>51</v>
      </c>
      <c r="B125" s="89" t="s">
        <v>511</v>
      </c>
      <c r="C125" s="210" t="s">
        <v>512</v>
      </c>
      <c r="D125" s="78" t="s">
        <v>513</v>
      </c>
      <c r="E125" s="125">
        <f>TEChuilelégère</f>
        <v>0</v>
      </c>
      <c r="F125" s="163"/>
      <c r="G125" s="127" t="s">
        <v>514</v>
      </c>
      <c r="H125" s="128" t="s">
        <v>515</v>
      </c>
      <c r="I125" s="113">
        <f>vfspb</f>
        <v>26.26</v>
      </c>
      <c r="J125" s="78" t="s">
        <v>516</v>
      </c>
      <c r="K125" s="250">
        <f>ROUND(I125*TEChuilelégère,2)</f>
        <v>1.23</v>
      </c>
      <c r="L125" s="164"/>
      <c r="M125" s="321" t="s">
        <v>517</v>
      </c>
      <c r="N125" s="178"/>
      <c r="O125" s="179" t="str">
        <f>P</f>
        <v>. . .</v>
      </c>
      <c r="P125" s="113" t="str">
        <f>P</f>
        <v>. . .</v>
      </c>
      <c r="Q125" s="168">
        <f>SUM(I125:P125)*19.6%</f>
        <v>5.38804</v>
      </c>
      <c r="R125" s="169">
        <f>SUM(I125:P125)*13%</f>
        <v>3.5737000000000005</v>
      </c>
      <c r="S125" s="368"/>
      <c r="T125" s="9"/>
      <c r="U125" s="10"/>
      <c r="V125" s="11"/>
      <c r="W125" s="402">
        <v>5907</v>
      </c>
      <c r="X125" s="402"/>
      <c r="Y125" s="18"/>
      <c r="Z125" s="18"/>
      <c r="AA125" s="18"/>
      <c r="AB125" s="19"/>
      <c r="AC125" s="20"/>
      <c r="AD125" s="446"/>
      <c r="AE125" s="447"/>
      <c r="AF125" s="447"/>
      <c r="AG125" s="447"/>
      <c r="AH125" s="447"/>
      <c r="AI125" s="448"/>
      <c r="AJ125" s="448"/>
      <c r="AK125" s="448"/>
      <c r="AL125" s="448"/>
      <c r="AM125" s="448"/>
      <c r="AN125" s="448"/>
      <c r="AO125" s="448"/>
      <c r="AP125" s="448"/>
      <c r="AQ125" s="448"/>
      <c r="AR125" s="448"/>
      <c r="AS125" s="448"/>
      <c r="AT125" s="448"/>
      <c r="AU125" s="448"/>
      <c r="AV125" s="448"/>
      <c r="AW125" s="448"/>
      <c r="AX125" s="448"/>
      <c r="AY125" s="448"/>
      <c r="AZ125" s="448"/>
      <c r="BA125" s="448"/>
      <c r="BB125" s="448"/>
      <c r="BC125" s="448"/>
      <c r="BD125" s="448"/>
      <c r="BE125" s="448"/>
      <c r="BF125" s="448"/>
      <c r="BG125" s="44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row>
    <row r="126" spans="1:92" s="1" customFormat="1" ht="12.75">
      <c r="A126" s="261"/>
      <c r="B126" s="262"/>
      <c r="C126" s="489" t="s">
        <v>518</v>
      </c>
      <c r="D126" s="268"/>
      <c r="E126" s="264"/>
      <c r="F126" s="265"/>
      <c r="G126" s="490"/>
      <c r="H126" s="491"/>
      <c r="I126" s="268"/>
      <c r="J126" s="268"/>
      <c r="K126" s="269"/>
      <c r="L126" s="269"/>
      <c r="M126" s="270"/>
      <c r="N126" s="271"/>
      <c r="O126" s="272"/>
      <c r="P126" s="293"/>
      <c r="Q126" s="274"/>
      <c r="R126" s="275"/>
      <c r="S126" s="482"/>
      <c r="T126" s="182"/>
      <c r="U126" s="183"/>
      <c r="V126" s="184"/>
      <c r="W126" s="185"/>
      <c r="X126" s="185"/>
      <c r="Y126" s="276">
        <v>9052</v>
      </c>
      <c r="Z126" s="276">
        <v>9301</v>
      </c>
      <c r="AA126" s="13"/>
      <c r="AB126" s="19"/>
      <c r="AC126" s="20"/>
      <c r="AD126" s="132"/>
      <c r="AE126" s="34"/>
      <c r="AF126" s="34"/>
      <c r="AG126" s="34"/>
      <c r="AH126" s="34"/>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34"/>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row>
    <row r="127" spans="1:92" s="1" customFormat="1" ht="12.75">
      <c r="A127" s="70"/>
      <c r="B127" s="262"/>
      <c r="C127" s="492" t="str">
        <f>"- - - Huiles moyennes :"</f>
        <v>- - - Huiles moyennes :</v>
      </c>
      <c r="D127" s="268"/>
      <c r="E127" s="264"/>
      <c r="F127" s="265"/>
      <c r="G127" s="490"/>
      <c r="H127" s="491"/>
      <c r="I127" s="268"/>
      <c r="J127" s="268"/>
      <c r="K127" s="269"/>
      <c r="L127" s="269"/>
      <c r="M127" s="270"/>
      <c r="N127" s="271"/>
      <c r="O127" s="272"/>
      <c r="P127" s="293"/>
      <c r="Q127" s="274"/>
      <c r="R127" s="275"/>
      <c r="S127" s="482"/>
      <c r="T127" s="58"/>
      <c r="U127" s="59"/>
      <c r="V127" s="60"/>
      <c r="W127" s="61"/>
      <c r="X127" s="61"/>
      <c r="Y127" s="276"/>
      <c r="Z127" s="276"/>
      <c r="AA127" s="170"/>
      <c r="AB127" s="19"/>
      <c r="AC127" s="20"/>
      <c r="AD127" s="132"/>
      <c r="AE127" s="34"/>
      <c r="AF127" s="34"/>
      <c r="AG127" s="34"/>
      <c r="AH127" s="34"/>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34"/>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row>
    <row r="128" spans="1:92" s="1" customFormat="1" ht="12.75">
      <c r="A128" s="70">
        <v>52</v>
      </c>
      <c r="B128" s="89" t="s">
        <v>519</v>
      </c>
      <c r="C128" s="117" t="str">
        <f>"- - - - destinées à subir un traitement défini (3)(30)(32)................................................................................................."</f>
        <v>- - - - destinées à subir un traitement défini (3)(30)(32).................................................................................................</v>
      </c>
      <c r="D128" s="78" t="s">
        <v>520</v>
      </c>
      <c r="E128" s="125" t="s">
        <v>521</v>
      </c>
      <c r="F128" s="163"/>
      <c r="G128" s="493" t="s">
        <v>522</v>
      </c>
      <c r="H128" s="128" t="s">
        <v>523</v>
      </c>
      <c r="I128" s="78" t="str">
        <f>R</f>
        <v>Réelle</v>
      </c>
      <c r="J128" s="78" t="s">
        <v>524</v>
      </c>
      <c r="K128" s="252" t="s">
        <v>525</v>
      </c>
      <c r="L128" s="164"/>
      <c r="M128" s="177" t="str">
        <f>"(3)"</f>
        <v>(3)</v>
      </c>
      <c r="N128" s="178"/>
      <c r="O128" s="179" t="str">
        <f>P</f>
        <v>. . .</v>
      </c>
      <c r="P128" s="180" t="str">
        <f>"(3)"</f>
        <v>(3)</v>
      </c>
      <c r="Q128" s="113" t="str">
        <f>"(3)"</f>
        <v>(3)</v>
      </c>
      <c r="R128" s="193" t="str">
        <f>"(3)"</f>
        <v>(3)</v>
      </c>
      <c r="S128" s="57"/>
      <c r="T128" s="9"/>
      <c r="U128" s="10"/>
      <c r="V128" s="11"/>
      <c r="W128" s="282" t="str">
        <f>t</f>
        <v>TVO</v>
      </c>
      <c r="X128" s="284">
        <v>5930</v>
      </c>
      <c r="Y128" s="276">
        <v>9052</v>
      </c>
      <c r="Z128" s="35">
        <v>9301</v>
      </c>
      <c r="AA128" s="18"/>
      <c r="AB128" s="19"/>
      <c r="AC128" s="20"/>
      <c r="AD128" s="132"/>
      <c r="AE128" s="34"/>
      <c r="AF128" s="34"/>
      <c r="AG128" s="34"/>
      <c r="AH128" s="34"/>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34"/>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row>
    <row r="129" spans="1:92" s="1" customFormat="1" ht="12.75">
      <c r="A129" s="70">
        <v>53</v>
      </c>
      <c r="B129" s="89" t="s">
        <v>526</v>
      </c>
      <c r="C129" s="117" t="str">
        <f>"- - - - destinées à subir une transformation chimique par un traitement autre  "</f>
        <v>- - - - destinées à subir une transformation chimique par un traitement autre  </v>
      </c>
      <c r="D129" s="78"/>
      <c r="E129" s="125"/>
      <c r="F129" s="163"/>
      <c r="G129" s="493"/>
      <c r="H129" s="494"/>
      <c r="I129" s="78"/>
      <c r="J129" s="78"/>
      <c r="K129" s="164"/>
      <c r="L129" s="164"/>
      <c r="M129" s="177"/>
      <c r="N129" s="178"/>
      <c r="O129" s="179"/>
      <c r="P129" s="113"/>
      <c r="Q129" s="113"/>
      <c r="R129" s="193"/>
      <c r="S129" s="388"/>
      <c r="T129" s="279"/>
      <c r="U129" s="280"/>
      <c r="V129" s="281"/>
      <c r="W129" s="282"/>
      <c r="X129" s="282"/>
      <c r="Y129" s="35"/>
      <c r="Z129" s="35"/>
      <c r="AA129" s="276"/>
      <c r="AB129" s="19"/>
      <c r="AC129" s="20"/>
      <c r="AD129" s="132"/>
      <c r="AE129" s="34"/>
      <c r="AF129" s="34"/>
      <c r="AG129" s="34"/>
      <c r="AH129" s="34"/>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34"/>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row>
    <row r="130" spans="1:92" s="1" customFormat="1" ht="12.75">
      <c r="A130" s="70"/>
      <c r="B130" s="89"/>
      <c r="C130" s="117" t="s">
        <v>527</v>
      </c>
      <c r="D130" s="78" t="s">
        <v>528</v>
      </c>
      <c r="E130" s="125" t="s">
        <v>529</v>
      </c>
      <c r="F130" s="163"/>
      <c r="G130" s="493" t="s">
        <v>530</v>
      </c>
      <c r="H130" s="128" t="s">
        <v>531</v>
      </c>
      <c r="I130" s="78" t="str">
        <f>R</f>
        <v>Réelle</v>
      </c>
      <c r="J130" s="78" t="s">
        <v>532</v>
      </c>
      <c r="K130" s="252" t="s">
        <v>533</v>
      </c>
      <c r="L130" s="164"/>
      <c r="M130" s="177" t="str">
        <f>"(3)"</f>
        <v>(3)</v>
      </c>
      <c r="N130" s="178"/>
      <c r="O130" s="179" t="str">
        <f>P</f>
        <v>. . .</v>
      </c>
      <c r="P130" s="180" t="str">
        <f>"(3)"</f>
        <v>(3)</v>
      </c>
      <c r="Q130" s="113" t="str">
        <f>"(3)"</f>
        <v>(3)</v>
      </c>
      <c r="R130" s="193" t="str">
        <f>"(3)"</f>
        <v>(3)</v>
      </c>
      <c r="S130" s="189"/>
      <c r="T130" s="9"/>
      <c r="U130" s="10"/>
      <c r="V130" s="11"/>
      <c r="W130" s="282" t="str">
        <f>t</f>
        <v>TVO</v>
      </c>
      <c r="X130" s="284">
        <v>5930</v>
      </c>
      <c r="Y130" s="35"/>
      <c r="Z130" s="35"/>
      <c r="AA130" s="276"/>
      <c r="AB130" s="19"/>
      <c r="AC130" s="20"/>
      <c r="AD130" s="132"/>
      <c r="AE130" s="34"/>
      <c r="AF130" s="34"/>
      <c r="AG130" s="34"/>
      <c r="AH130" s="34"/>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34"/>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row>
    <row r="131" spans="1:92" s="1" customFormat="1" ht="12.75">
      <c r="A131" s="70"/>
      <c r="B131" s="89"/>
      <c r="C131" s="162" t="s">
        <v>534</v>
      </c>
      <c r="D131" s="78"/>
      <c r="E131" s="125"/>
      <c r="F131" s="163"/>
      <c r="G131" s="493"/>
      <c r="H131" s="494"/>
      <c r="I131" s="113"/>
      <c r="J131" s="78"/>
      <c r="K131" s="250"/>
      <c r="L131" s="164"/>
      <c r="M131" s="177"/>
      <c r="N131" s="178"/>
      <c r="O131" s="179"/>
      <c r="P131" s="180"/>
      <c r="Q131" s="180"/>
      <c r="R131" s="181"/>
      <c r="S131" s="482"/>
      <c r="T131" s="85"/>
      <c r="U131" s="86"/>
      <c r="V131" s="87"/>
      <c r="W131" s="88"/>
      <c r="X131" s="88"/>
      <c r="Y131" s="170"/>
      <c r="Z131" s="170"/>
      <c r="AA131" s="35"/>
      <c r="AB131" s="19"/>
      <c r="AC131" s="20"/>
      <c r="AD131" s="132"/>
      <c r="AE131" s="34"/>
      <c r="AF131" s="34"/>
      <c r="AG131" s="34"/>
      <c r="AH131" s="34"/>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34"/>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row>
    <row r="132" spans="1:92" s="1" customFormat="1" ht="12.75">
      <c r="A132" s="70"/>
      <c r="B132" s="89"/>
      <c r="C132" s="162" t="s">
        <v>535</v>
      </c>
      <c r="D132" s="78"/>
      <c r="E132" s="125"/>
      <c r="F132" s="163"/>
      <c r="G132" s="493"/>
      <c r="H132" s="494"/>
      <c r="I132" s="78"/>
      <c r="J132" s="78"/>
      <c r="K132" s="164"/>
      <c r="L132" s="164"/>
      <c r="M132" s="177"/>
      <c r="N132" s="178"/>
      <c r="O132" s="179"/>
      <c r="P132" s="180"/>
      <c r="Q132" s="168"/>
      <c r="R132" s="169"/>
      <c r="S132" s="283"/>
      <c r="T132" s="85"/>
      <c r="U132" s="86"/>
      <c r="V132" s="87"/>
      <c r="W132" s="88"/>
      <c r="X132" s="88"/>
      <c r="Y132" s="18"/>
      <c r="Z132" s="18"/>
      <c r="AA132" s="35"/>
      <c r="AB132" s="19"/>
      <c r="AC132" s="20"/>
      <c r="AD132" s="132"/>
      <c r="AE132" s="34"/>
      <c r="AF132" s="34"/>
      <c r="AG132" s="34"/>
      <c r="AH132" s="34"/>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34"/>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row>
    <row r="133" spans="1:92" s="1" customFormat="1" ht="12.75">
      <c r="A133" s="70"/>
      <c r="B133" s="89"/>
      <c r="C133" s="162" t="s">
        <v>536</v>
      </c>
      <c r="D133" s="78"/>
      <c r="E133" s="125"/>
      <c r="F133" s="163"/>
      <c r="G133" s="493"/>
      <c r="H133" s="494"/>
      <c r="I133" s="78"/>
      <c r="J133" s="78"/>
      <c r="K133" s="164"/>
      <c r="L133" s="164"/>
      <c r="M133" s="177"/>
      <c r="N133" s="178"/>
      <c r="O133" s="179"/>
      <c r="P133" s="180"/>
      <c r="Q133" s="168"/>
      <c r="R133" s="169"/>
      <c r="S133" s="283"/>
      <c r="T133" s="182"/>
      <c r="U133" s="183"/>
      <c r="V133" s="184"/>
      <c r="W133" s="185"/>
      <c r="X133" s="185"/>
      <c r="Y133" s="18"/>
      <c r="Z133" s="18"/>
      <c r="AA133" s="35"/>
      <c r="AB133" s="19"/>
      <c r="AC133" s="20"/>
      <c r="AD133" s="132"/>
      <c r="AE133" s="34"/>
      <c r="AF133" s="34"/>
      <c r="AG133" s="34"/>
      <c r="AH133" s="34"/>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34"/>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row>
    <row r="134" spans="1:92" s="1" customFormat="1" ht="12.75">
      <c r="A134" s="70">
        <v>54</v>
      </c>
      <c r="B134" s="89" t="s">
        <v>537</v>
      </c>
      <c r="C134" s="210" t="s">
        <v>538</v>
      </c>
      <c r="D134" s="78"/>
      <c r="E134" s="125"/>
      <c r="F134" s="163"/>
      <c r="G134" s="493"/>
      <c r="H134" s="494"/>
      <c r="I134" s="78"/>
      <c r="J134" s="78"/>
      <c r="K134" s="164"/>
      <c r="L134" s="164"/>
      <c r="M134" s="177"/>
      <c r="N134" s="178"/>
      <c r="O134" s="179"/>
      <c r="P134" s="495"/>
      <c r="Q134" s="168"/>
      <c r="R134" s="169"/>
      <c r="S134" s="199"/>
      <c r="T134" s="58"/>
      <c r="U134" s="59"/>
      <c r="V134" s="60"/>
      <c r="W134" s="61"/>
      <c r="X134" s="61"/>
      <c r="Y134" s="18">
        <v>9050</v>
      </c>
      <c r="Z134" s="18">
        <v>9306</v>
      </c>
      <c r="AA134" s="170">
        <v>9301</v>
      </c>
      <c r="AB134" s="19"/>
      <c r="AC134" s="20"/>
      <c r="AD134" s="496"/>
      <c r="AE134" s="71"/>
      <c r="AF134" s="497"/>
      <c r="AG134" s="497"/>
      <c r="AH134" s="497"/>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34"/>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row>
    <row r="135" spans="1:92" s="1" customFormat="1" ht="12.75">
      <c r="A135" s="70"/>
      <c r="B135" s="89"/>
      <c r="C135" s="210" t="s">
        <v>539</v>
      </c>
      <c r="D135" s="78"/>
      <c r="E135" s="125"/>
      <c r="F135" s="163"/>
      <c r="G135" s="493"/>
      <c r="H135" s="494"/>
      <c r="I135" s="113"/>
      <c r="J135" s="78"/>
      <c r="K135" s="250"/>
      <c r="L135" s="164"/>
      <c r="M135" s="177"/>
      <c r="N135" s="178"/>
      <c r="O135" s="179"/>
      <c r="P135" s="113"/>
      <c r="Q135" s="168"/>
      <c r="R135" s="169"/>
      <c r="S135" s="84"/>
      <c r="T135" s="58"/>
      <c r="U135" s="59"/>
      <c r="V135" s="60"/>
      <c r="W135" s="61"/>
      <c r="X135" s="61"/>
      <c r="Y135" s="18">
        <v>9055</v>
      </c>
      <c r="Z135" s="18">
        <v>9301</v>
      </c>
      <c r="AA135" s="18"/>
      <c r="AB135" s="19"/>
      <c r="AC135" s="20"/>
      <c r="AD135" s="132"/>
      <c r="AE135" s="34"/>
      <c r="AF135" s="34"/>
      <c r="AG135" s="34"/>
      <c r="AH135" s="34"/>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34"/>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row>
    <row r="136" spans="1:92" s="1" customFormat="1" ht="12.75">
      <c r="A136" s="70"/>
      <c r="B136" s="89"/>
      <c r="C136" s="210" t="s">
        <v>540</v>
      </c>
      <c r="D136" s="78" t="s">
        <v>541</v>
      </c>
      <c r="E136" s="125">
        <f>TEChuilemoyenne</f>
        <v>0</v>
      </c>
      <c r="F136" s="163"/>
      <c r="G136" s="493" t="s">
        <v>542</v>
      </c>
      <c r="H136" s="494" t="s">
        <v>543</v>
      </c>
      <c r="I136" s="113">
        <f>VFCB</f>
        <v>31.29</v>
      </c>
      <c r="J136" s="78" t="s">
        <v>544</v>
      </c>
      <c r="K136" s="250">
        <f>ROUND(I136*TEChuilemoyenne,2)</f>
        <v>1.47</v>
      </c>
      <c r="L136" s="164"/>
      <c r="M136" s="177" t="s">
        <v>545</v>
      </c>
      <c r="N136" s="178"/>
      <c r="O136" s="179" t="str">
        <f>P</f>
        <v>. . .</v>
      </c>
      <c r="P136" s="113" t="str">
        <f>"(18)"</f>
        <v>(18)</v>
      </c>
      <c r="Q136" s="168">
        <f>TVACARBUAERONEFmetro</f>
        <v>6.13284</v>
      </c>
      <c r="R136" s="169">
        <f>TVACARBUAERONEFcorse</f>
        <v>4.0677</v>
      </c>
      <c r="S136" s="199"/>
      <c r="T136" s="9"/>
      <c r="U136" s="10"/>
      <c r="V136" s="60">
        <v>5729</v>
      </c>
      <c r="W136" s="219">
        <v>5901</v>
      </c>
      <c r="X136" s="219"/>
      <c r="Y136" s="18">
        <v>4012</v>
      </c>
      <c r="Z136" s="18">
        <v>9301</v>
      </c>
      <c r="AA136" s="18"/>
      <c r="AB136" s="19"/>
      <c r="AC136" s="20"/>
      <c r="AD136" s="21"/>
      <c r="AE136" s="22"/>
      <c r="AF136" s="22"/>
      <c r="AG136" s="22"/>
      <c r="AH136" s="34"/>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34"/>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row>
    <row r="137" spans="1:92" s="1" customFormat="1" ht="12.75">
      <c r="A137" s="70">
        <v>55</v>
      </c>
      <c r="B137" s="89" t="s">
        <v>546</v>
      </c>
      <c r="C137" s="162" t="s">
        <v>547</v>
      </c>
      <c r="D137" s="78" t="s">
        <v>548</v>
      </c>
      <c r="E137" s="125">
        <f>TEChuilemoyenne</f>
        <v>0</v>
      </c>
      <c r="F137" s="163"/>
      <c r="G137" s="493" t="s">
        <v>549</v>
      </c>
      <c r="H137" s="494" t="s">
        <v>550</v>
      </c>
      <c r="I137" s="113">
        <f>VFCB</f>
        <v>31.29</v>
      </c>
      <c r="J137" s="78" t="s">
        <v>551</v>
      </c>
      <c r="K137" s="250">
        <f>ROUND(I137*TEChuilemoyenne,2)</f>
        <v>1.47</v>
      </c>
      <c r="L137" s="164"/>
      <c r="M137" s="177">
        <f>TICBSCE</f>
        <v>2.54</v>
      </c>
      <c r="N137" s="178"/>
      <c r="O137" s="179" t="str">
        <f>P</f>
        <v>. . .</v>
      </c>
      <c r="P137" s="113" t="str">
        <f>"(18)"</f>
        <v>(18)</v>
      </c>
      <c r="Q137" s="168">
        <f>SUM(I137:P137)*19.6%</f>
        <v>6.9188</v>
      </c>
      <c r="R137" s="169">
        <f>SUM(I137:P137)*13%</f>
        <v>4.5889999999999995</v>
      </c>
      <c r="S137" s="189"/>
      <c r="T137" s="58">
        <v>5707</v>
      </c>
      <c r="U137" s="59"/>
      <c r="V137" s="60">
        <v>5729</v>
      </c>
      <c r="W137" s="219">
        <v>5919</v>
      </c>
      <c r="X137" s="219"/>
      <c r="Y137" s="18">
        <v>9306</v>
      </c>
      <c r="Z137" s="18">
        <v>9301</v>
      </c>
      <c r="AA137" s="18"/>
      <c r="AB137" s="19"/>
      <c r="AC137" s="20"/>
      <c r="AD137" s="497"/>
      <c r="AE137" s="22"/>
      <c r="AF137" s="22"/>
      <c r="AG137" s="22"/>
      <c r="AH137" s="34"/>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34"/>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row>
    <row r="138" spans="1:92" s="1" customFormat="1" ht="12.75">
      <c r="A138" s="70">
        <v>56</v>
      </c>
      <c r="B138" s="89" t="s">
        <v>552</v>
      </c>
      <c r="C138" s="210" t="s">
        <v>553</v>
      </c>
      <c r="D138" s="78" t="s">
        <v>554</v>
      </c>
      <c r="E138" s="125">
        <f>TEChuilemoyenne</f>
        <v>0</v>
      </c>
      <c r="F138" s="163"/>
      <c r="G138" s="493" t="s">
        <v>555</v>
      </c>
      <c r="H138" s="494" t="s">
        <v>556</v>
      </c>
      <c r="I138" s="113">
        <f>VFCB</f>
        <v>31.29</v>
      </c>
      <c r="J138" s="78" t="s">
        <v>557</v>
      </c>
      <c r="K138" s="250">
        <f>ROUND(I138*TEChuilemoyenne,2)</f>
        <v>1.47</v>
      </c>
      <c r="L138" s="164"/>
      <c r="M138" s="177" t="s">
        <v>558</v>
      </c>
      <c r="N138" s="178"/>
      <c r="O138" s="179" t="str">
        <f>P</f>
        <v>. . .</v>
      </c>
      <c r="P138" s="113" t="str">
        <f>P</f>
        <v>. . .</v>
      </c>
      <c r="Q138" s="168">
        <f>SUM(I138:P138)*19.6%</f>
        <v>6.42096</v>
      </c>
      <c r="R138" s="169">
        <f>SUM(I138:P138)*13%</f>
        <v>4.2588</v>
      </c>
      <c r="S138" s="57"/>
      <c r="T138" s="9"/>
      <c r="U138" s="10"/>
      <c r="V138" s="11"/>
      <c r="W138" s="219">
        <v>5946</v>
      </c>
      <c r="X138" s="219"/>
      <c r="Y138" s="18"/>
      <c r="Z138" s="18"/>
      <c r="AA138" s="18"/>
      <c r="AB138" s="19"/>
      <c r="AC138" s="20"/>
      <c r="AD138" s="21"/>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34"/>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row>
    <row r="139" spans="1:92" s="1" customFormat="1" ht="12.75">
      <c r="A139" s="70">
        <v>57</v>
      </c>
      <c r="B139" s="89" t="s">
        <v>559</v>
      </c>
      <c r="C139" s="162" t="s">
        <v>560</v>
      </c>
      <c r="D139" s="78" t="s">
        <v>561</v>
      </c>
      <c r="E139" s="125">
        <f>TEChuilemoyenne</f>
        <v>0</v>
      </c>
      <c r="F139" s="163"/>
      <c r="G139" s="498" t="s">
        <v>562</v>
      </c>
      <c r="H139" s="89" t="s">
        <v>563</v>
      </c>
      <c r="I139" s="113">
        <f>VFCB</f>
        <v>31.29</v>
      </c>
      <c r="J139" s="78" t="s">
        <v>564</v>
      </c>
      <c r="K139" s="218">
        <f>ROUND(I139*TEChuilemoyenne,2)</f>
        <v>1.47</v>
      </c>
      <c r="L139" s="163"/>
      <c r="M139" s="177">
        <f>TIGO</f>
        <v>41.69</v>
      </c>
      <c r="N139" s="178"/>
      <c r="O139" s="179" t="str">
        <f>P</f>
        <v>. . .</v>
      </c>
      <c r="P139" s="113" t="str">
        <f>"(18)"</f>
        <v>(18)</v>
      </c>
      <c r="Q139" s="168">
        <f>SUM(I139:P139)*19.6%</f>
        <v>14.592199999999998</v>
      </c>
      <c r="R139" s="169">
        <f>SUM(I139:P139)*13%</f>
        <v>9.6785</v>
      </c>
      <c r="S139" s="57"/>
      <c r="T139" s="58">
        <v>5712</v>
      </c>
      <c r="U139" s="59"/>
      <c r="V139" s="60">
        <v>5729</v>
      </c>
      <c r="W139" s="219">
        <v>5950</v>
      </c>
      <c r="X139" s="219"/>
      <c r="Y139" s="18"/>
      <c r="Z139" s="18"/>
      <c r="AA139" s="18"/>
      <c r="AB139" s="19"/>
      <c r="AC139" s="20"/>
      <c r="AD139" s="21"/>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34"/>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row>
    <row r="140" spans="1:92" s="1" customFormat="1" ht="12.75">
      <c r="A140" s="70"/>
      <c r="B140" s="89"/>
      <c r="C140" s="162" t="s">
        <v>565</v>
      </c>
      <c r="D140" s="73"/>
      <c r="E140" s="125"/>
      <c r="F140" s="163"/>
      <c r="G140" s="493"/>
      <c r="H140" s="494"/>
      <c r="I140" s="113"/>
      <c r="J140" s="78"/>
      <c r="K140" s="250"/>
      <c r="L140" s="164"/>
      <c r="M140" s="177"/>
      <c r="N140" s="178"/>
      <c r="O140" s="179"/>
      <c r="P140" s="495"/>
      <c r="Q140" s="180"/>
      <c r="R140" s="181"/>
      <c r="S140" s="57"/>
      <c r="T140" s="58"/>
      <c r="U140" s="59"/>
      <c r="V140" s="60"/>
      <c r="W140" s="61"/>
      <c r="X140" s="61"/>
      <c r="Y140" s="170">
        <v>4013</v>
      </c>
      <c r="Z140" s="170">
        <v>9943</v>
      </c>
      <c r="AA140" s="18">
        <v>9301</v>
      </c>
      <c r="AB140" s="19"/>
      <c r="AC140" s="20"/>
      <c r="AD140" s="21"/>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34"/>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row>
    <row r="141" spans="1:92" s="1" customFormat="1" ht="12.75">
      <c r="A141" s="70"/>
      <c r="B141" s="89"/>
      <c r="C141" s="162" t="s">
        <v>566</v>
      </c>
      <c r="D141" s="73"/>
      <c r="E141" s="125"/>
      <c r="F141" s="163"/>
      <c r="G141" s="127"/>
      <c r="H141" s="494"/>
      <c r="I141" s="113"/>
      <c r="J141" s="78"/>
      <c r="K141" s="250"/>
      <c r="L141" s="164"/>
      <c r="M141" s="177"/>
      <c r="N141" s="178"/>
      <c r="O141" s="179"/>
      <c r="P141" s="113"/>
      <c r="Q141" s="168"/>
      <c r="R141" s="169"/>
      <c r="S141" s="482"/>
      <c r="T141" s="58"/>
      <c r="U141" s="59"/>
      <c r="V141" s="60"/>
      <c r="W141" s="61"/>
      <c r="X141" s="61"/>
      <c r="Y141" s="18">
        <v>4013</v>
      </c>
      <c r="Z141" s="18">
        <v>9301</v>
      </c>
      <c r="AA141" s="18"/>
      <c r="AB141" s="19"/>
      <c r="AC141" s="20"/>
      <c r="AD141" s="21"/>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34"/>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row>
    <row r="142" spans="1:92" s="1" customFormat="1" ht="12.75">
      <c r="A142" s="70">
        <v>58</v>
      </c>
      <c r="B142" s="89" t="s">
        <v>567</v>
      </c>
      <c r="C142" s="210" t="s">
        <v>568</v>
      </c>
      <c r="D142" s="78" t="s">
        <v>569</v>
      </c>
      <c r="E142" s="125">
        <f>TEChuilemoyenne</f>
        <v>0</v>
      </c>
      <c r="F142" s="163"/>
      <c r="G142" s="127" t="str">
        <f>P</f>
        <v>. . .</v>
      </c>
      <c r="H142" s="494" t="s">
        <v>570</v>
      </c>
      <c r="I142" s="113">
        <f>VFPL</f>
        <v>31.29</v>
      </c>
      <c r="J142" s="78" t="s">
        <v>571</v>
      </c>
      <c r="K142" s="250">
        <f>ROUND(I142*TEChuilemoyenne,2)</f>
        <v>1.47</v>
      </c>
      <c r="L142" s="164"/>
      <c r="M142" s="177">
        <f>TIFD</f>
        <v>5.66</v>
      </c>
      <c r="N142" s="178"/>
      <c r="O142" s="179" t="str">
        <f>P</f>
        <v>. . .</v>
      </c>
      <c r="P142" s="113" t="str">
        <f>"(18)"</f>
        <v>(18)</v>
      </c>
      <c r="Q142" s="168">
        <f>TVALAMPANTCOMBMETRO</f>
        <v>7.530320000000001</v>
      </c>
      <c r="R142" s="169">
        <f>TVALAMPANTCOMBCORSE</f>
        <v>4.9946</v>
      </c>
      <c r="S142" s="482"/>
      <c r="T142" s="182">
        <v>5710</v>
      </c>
      <c r="U142" s="183"/>
      <c r="V142" s="184">
        <v>5732</v>
      </c>
      <c r="W142" s="190">
        <v>5921</v>
      </c>
      <c r="X142" s="190"/>
      <c r="Y142" s="18">
        <v>9306</v>
      </c>
      <c r="Z142" s="18">
        <v>9301</v>
      </c>
      <c r="AA142" s="18"/>
      <c r="AB142" s="19"/>
      <c r="AC142" s="20"/>
      <c r="AD142" s="21"/>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34"/>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row>
    <row r="143" spans="1:92" s="1" customFormat="1" ht="12.75">
      <c r="A143" s="70">
        <v>59</v>
      </c>
      <c r="B143" s="89" t="s">
        <v>572</v>
      </c>
      <c r="C143" s="210" t="s">
        <v>573</v>
      </c>
      <c r="D143" s="78" t="s">
        <v>574</v>
      </c>
      <c r="E143" s="125">
        <f>TEChuilemoyenne</f>
        <v>0</v>
      </c>
      <c r="F143" s="163"/>
      <c r="G143" s="127" t="str">
        <f>P</f>
        <v>. . .</v>
      </c>
      <c r="H143" s="494" t="s">
        <v>575</v>
      </c>
      <c r="I143" s="113">
        <f>VFPL</f>
        <v>31.29</v>
      </c>
      <c r="J143" s="78" t="s">
        <v>576</v>
      </c>
      <c r="K143" s="250">
        <f>ROUND(I143*TEChuilemoyenne,2)</f>
        <v>1.47</v>
      </c>
      <c r="L143" s="164"/>
      <c r="M143" s="177">
        <f>TIFD</f>
        <v>5.66</v>
      </c>
      <c r="N143" s="178"/>
      <c r="O143" s="179" t="str">
        <f>P</f>
        <v>. . .</v>
      </c>
      <c r="P143" s="113" t="str">
        <f>"(18)"</f>
        <v>(18)</v>
      </c>
      <c r="Q143" s="168">
        <f>SUM(I143:P143)*19.6%</f>
        <v>7.530320000000001</v>
      </c>
      <c r="R143" s="169">
        <f>SUM(I143:P143)*13%</f>
        <v>4.9946</v>
      </c>
      <c r="S143" s="482"/>
      <c r="T143" s="58">
        <v>5710</v>
      </c>
      <c r="U143" s="59"/>
      <c r="V143" s="60">
        <v>5732</v>
      </c>
      <c r="W143" s="219">
        <v>5921</v>
      </c>
      <c r="X143" s="219"/>
      <c r="Y143" s="18">
        <v>4012</v>
      </c>
      <c r="Z143" s="18">
        <v>9301</v>
      </c>
      <c r="AA143" s="170"/>
      <c r="AB143" s="19"/>
      <c r="AC143" s="20"/>
      <c r="AD143" s="21"/>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34"/>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row>
    <row r="144" spans="1:92" s="1" customFormat="1" ht="12.75">
      <c r="A144" s="70">
        <v>60</v>
      </c>
      <c r="B144" s="89" t="s">
        <v>577</v>
      </c>
      <c r="C144" s="162" t="s">
        <v>578</v>
      </c>
      <c r="D144" s="78" t="s">
        <v>579</v>
      </c>
      <c r="E144" s="125">
        <f>TEChuilemoyenne</f>
        <v>0</v>
      </c>
      <c r="F144" s="163"/>
      <c r="G144" s="217" t="str">
        <f>P</f>
        <v>. . .</v>
      </c>
      <c r="H144" s="89" t="s">
        <v>580</v>
      </c>
      <c r="I144" s="113">
        <f>VFPL</f>
        <v>31.29</v>
      </c>
      <c r="J144" s="78" t="s">
        <v>581</v>
      </c>
      <c r="K144" s="218">
        <f>ROUND(I144*TEChuilemoyenne,2)</f>
        <v>1.47</v>
      </c>
      <c r="L144" s="163"/>
      <c r="M144" s="177">
        <f>TIGO</f>
        <v>41.69</v>
      </c>
      <c r="N144" s="298"/>
      <c r="O144" s="179" t="str">
        <f>P</f>
        <v>. . .</v>
      </c>
      <c r="P144" s="113" t="str">
        <f>"(18)"</f>
        <v>(18)</v>
      </c>
      <c r="Q144" s="168">
        <f>SUM(I144:P144)*19.6%</f>
        <v>14.592199999999998</v>
      </c>
      <c r="R144" s="169">
        <f>SUM(I144:P144)*13%</f>
        <v>9.6785</v>
      </c>
      <c r="S144" s="482"/>
      <c r="T144" s="58">
        <v>5712</v>
      </c>
      <c r="U144" s="59"/>
      <c r="V144" s="60">
        <v>5732</v>
      </c>
      <c r="W144" s="219">
        <v>5925</v>
      </c>
      <c r="X144" s="219"/>
      <c r="Y144" s="18"/>
      <c r="Z144" s="18"/>
      <c r="AA144" s="18"/>
      <c r="AB144" s="19"/>
      <c r="AC144" s="20"/>
      <c r="AD144" s="21"/>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34"/>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row>
    <row r="145" spans="1:92" s="1" customFormat="1" ht="12.75">
      <c r="A145" s="70">
        <v>61</v>
      </c>
      <c r="B145" s="89" t="s">
        <v>582</v>
      </c>
      <c r="C145" s="162" t="s">
        <v>583</v>
      </c>
      <c r="D145" s="78" t="s">
        <v>584</v>
      </c>
      <c r="E145" s="125">
        <f>TEChuilemoyenne</f>
        <v>0</v>
      </c>
      <c r="F145" s="163"/>
      <c r="G145" s="127" t="str">
        <f>P</f>
        <v>. . .</v>
      </c>
      <c r="H145" s="494" t="s">
        <v>585</v>
      </c>
      <c r="I145" s="113">
        <f>VFPL</f>
        <v>31.29</v>
      </c>
      <c r="J145" s="78" t="s">
        <v>586</v>
      </c>
      <c r="K145" s="250">
        <f>ROUND(I145*TEChuilemoyenne,2)</f>
        <v>1.47</v>
      </c>
      <c r="L145" s="164"/>
      <c r="M145" s="177" t="s">
        <v>587</v>
      </c>
      <c r="N145" s="178"/>
      <c r="O145" s="179" t="str">
        <f>P</f>
        <v>. . .</v>
      </c>
      <c r="P145" s="113" t="str">
        <f>P</f>
        <v>. . .</v>
      </c>
      <c r="Q145" s="168">
        <f>SUM(I145:P145)*19.6%</f>
        <v>6.42096</v>
      </c>
      <c r="R145" s="169">
        <f>SUM(I145:P145)*13%</f>
        <v>4.2588</v>
      </c>
      <c r="S145" s="482"/>
      <c r="T145" s="9"/>
      <c r="U145" s="10"/>
      <c r="V145" s="11"/>
      <c r="W145" s="219">
        <v>5910</v>
      </c>
      <c r="X145" s="219"/>
      <c r="Y145" s="18">
        <v>9348</v>
      </c>
      <c r="Z145" s="18">
        <v>9302</v>
      </c>
      <c r="AA145" s="18"/>
      <c r="AB145" s="19"/>
      <c r="AC145" s="20"/>
      <c r="AD145" s="21"/>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34"/>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row>
    <row r="146" spans="1:92" s="1" customFormat="1" ht="12.75">
      <c r="A146" s="70"/>
      <c r="B146" s="89"/>
      <c r="C146" s="162" t="s">
        <v>588</v>
      </c>
      <c r="D146" s="73"/>
      <c r="E146" s="125"/>
      <c r="F146" s="163"/>
      <c r="G146" s="493"/>
      <c r="H146" s="494"/>
      <c r="I146" s="78"/>
      <c r="J146" s="78"/>
      <c r="K146" s="164"/>
      <c r="L146" s="164"/>
      <c r="M146" s="177"/>
      <c r="N146" s="178"/>
      <c r="O146" s="179"/>
      <c r="P146" s="180"/>
      <c r="Q146" s="168"/>
      <c r="R146" s="169"/>
      <c r="S146" s="189"/>
      <c r="T146" s="58"/>
      <c r="U146" s="59"/>
      <c r="V146" s="60"/>
      <c r="W146" s="61"/>
      <c r="X146" s="61"/>
      <c r="Y146" s="18">
        <v>4012</v>
      </c>
      <c r="Z146" s="18">
        <v>9302</v>
      </c>
      <c r="AA146" s="18"/>
      <c r="AB146" s="19"/>
      <c r="AC146" s="20"/>
      <c r="AD146" s="21"/>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34"/>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row>
    <row r="147" spans="1:92" s="1" customFormat="1" ht="12.75">
      <c r="A147" s="70">
        <v>62</v>
      </c>
      <c r="B147" s="89" t="s">
        <v>589</v>
      </c>
      <c r="C147" s="162" t="s">
        <v>590</v>
      </c>
      <c r="D147" s="78" t="s">
        <v>591</v>
      </c>
      <c r="E147" s="125">
        <f>TEChuilemoyenne</f>
        <v>0</v>
      </c>
      <c r="F147" s="163"/>
      <c r="G147" s="217" t="str">
        <f>P</f>
        <v>. . .</v>
      </c>
      <c r="H147" s="89" t="s">
        <v>592</v>
      </c>
      <c r="I147" s="113">
        <f>VFPL</f>
        <v>31.29</v>
      </c>
      <c r="J147" s="78" t="s">
        <v>593</v>
      </c>
      <c r="K147" s="218">
        <f>ROUND(I147*TEChuilemoyenne,2)</f>
        <v>1.47</v>
      </c>
      <c r="L147" s="163"/>
      <c r="M147" s="177">
        <f>TIGO</f>
        <v>41.69</v>
      </c>
      <c r="N147" s="298"/>
      <c r="O147" s="179" t="str">
        <f>P</f>
        <v>. . .</v>
      </c>
      <c r="P147" s="113" t="str">
        <f>P</f>
        <v>. . .</v>
      </c>
      <c r="Q147" s="168">
        <f>TVAPLMETRO</f>
        <v>14.592199999999998</v>
      </c>
      <c r="R147" s="169">
        <f>TVAPLCORSE</f>
        <v>9.6785</v>
      </c>
      <c r="S147" s="482"/>
      <c r="T147" s="58">
        <v>5712</v>
      </c>
      <c r="U147" s="59"/>
      <c r="V147" s="11"/>
      <c r="W147" s="219">
        <v>5922</v>
      </c>
      <c r="X147" s="219"/>
      <c r="Y147" s="413"/>
      <c r="Z147" s="413"/>
      <c r="AA147" s="18"/>
      <c r="AB147" s="19"/>
      <c r="AC147" s="20"/>
      <c r="AD147" s="21"/>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34"/>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row>
    <row r="148" spans="1:92" s="1" customFormat="1" ht="12.75">
      <c r="A148" s="222">
        <v>63</v>
      </c>
      <c r="B148" s="223" t="s">
        <v>594</v>
      </c>
      <c r="C148" s="499" t="s">
        <v>595</v>
      </c>
      <c r="D148" s="230" t="s">
        <v>596</v>
      </c>
      <c r="E148" s="226">
        <f>TEChuilemoyenne</f>
        <v>0</v>
      </c>
      <c r="F148" s="227"/>
      <c r="G148" s="228" t="str">
        <f>P</f>
        <v>. . .</v>
      </c>
      <c r="H148" s="500" t="s">
        <v>597</v>
      </c>
      <c r="I148" s="235">
        <f>VFPL</f>
        <v>31.29</v>
      </c>
      <c r="J148" s="230" t="s">
        <v>598</v>
      </c>
      <c r="K148" s="453">
        <f>ROUND(I148*TEChuilemoyenne,2)</f>
        <v>1.47</v>
      </c>
      <c r="L148" s="231"/>
      <c r="M148" s="232" t="s">
        <v>599</v>
      </c>
      <c r="N148" s="233"/>
      <c r="O148" s="234" t="str">
        <f>P</f>
        <v>. . .</v>
      </c>
      <c r="P148" s="235" t="str">
        <f>P</f>
        <v>. . .</v>
      </c>
      <c r="Q148" s="501">
        <f>TVAAUTRLAMPAUTR</f>
        <v>6.42096</v>
      </c>
      <c r="R148" s="502">
        <f>SUM(I148:P148)*13%</f>
        <v>4.2588</v>
      </c>
      <c r="S148" s="482"/>
      <c r="T148" s="9"/>
      <c r="U148" s="10"/>
      <c r="V148" s="11"/>
      <c r="W148" s="219">
        <v>5910</v>
      </c>
      <c r="X148" s="219"/>
      <c r="Y148" s="18"/>
      <c r="Z148" s="18"/>
      <c r="AA148" s="18"/>
      <c r="AB148" s="19"/>
      <c r="AC148" s="20"/>
      <c r="AD148" s="21"/>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34"/>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row>
    <row r="149" spans="1:92" s="1" customFormat="1" ht="12.75">
      <c r="A149" s="238"/>
      <c r="B149" s="239"/>
      <c r="C149" s="503" t="s">
        <v>600</v>
      </c>
      <c r="D149" s="241"/>
      <c r="E149" s="242"/>
      <c r="F149" s="243"/>
      <c r="G149" s="94"/>
      <c r="H149" s="504"/>
      <c r="I149" s="98"/>
      <c r="J149" s="244"/>
      <c r="K149" s="505"/>
      <c r="L149" s="245"/>
      <c r="M149" s="246"/>
      <c r="N149" s="247"/>
      <c r="O149" s="248"/>
      <c r="P149" s="113"/>
      <c r="Q149" s="480"/>
      <c r="R149" s="481"/>
      <c r="S149" s="482"/>
      <c r="T149" s="58"/>
      <c r="U149" s="59"/>
      <c r="V149" s="60"/>
      <c r="W149" s="61"/>
      <c r="X149" s="61"/>
      <c r="Y149" s="276"/>
      <c r="Z149" s="276"/>
      <c r="AA149" s="18"/>
      <c r="AB149" s="322"/>
      <c r="AC149" s="20"/>
      <c r="AD149" s="20"/>
      <c r="AE149" s="71"/>
      <c r="AF149" s="89"/>
      <c r="AG149" s="89"/>
      <c r="AH149" s="89"/>
      <c r="AI149" s="256"/>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34"/>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row>
    <row r="150" spans="1:92" s="1" customFormat="1" ht="12.75">
      <c r="A150" s="70"/>
      <c r="B150" s="262"/>
      <c r="C150" s="506"/>
      <c r="D150" s="263"/>
      <c r="E150" s="264"/>
      <c r="F150" s="265"/>
      <c r="G150" s="490"/>
      <c r="H150" s="491"/>
      <c r="I150" s="268"/>
      <c r="J150" s="268"/>
      <c r="K150" s="269"/>
      <c r="L150" s="269"/>
      <c r="M150" s="270"/>
      <c r="N150" s="271"/>
      <c r="O150" s="272"/>
      <c r="P150" s="293"/>
      <c r="Q150" s="274"/>
      <c r="R150" s="275"/>
      <c r="S150" s="57"/>
      <c r="T150" s="58"/>
      <c r="U150" s="59"/>
      <c r="V150" s="60"/>
      <c r="W150" s="61"/>
      <c r="X150" s="61"/>
      <c r="Y150" s="276">
        <v>9052</v>
      </c>
      <c r="Z150" s="276">
        <v>9301</v>
      </c>
      <c r="AA150" s="18"/>
      <c r="AB150" s="19"/>
      <c r="AC150" s="20"/>
      <c r="AD150" s="20"/>
      <c r="AE150" s="21"/>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34"/>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row>
    <row r="151" spans="1:92" s="1" customFormat="1" ht="12.75">
      <c r="A151" s="70"/>
      <c r="B151" s="89"/>
      <c r="C151" s="162" t="s">
        <v>601</v>
      </c>
      <c r="D151" s="302"/>
      <c r="E151" s="303"/>
      <c r="F151" s="34"/>
      <c r="G151" s="507"/>
      <c r="H151" s="508"/>
      <c r="I151" s="305"/>
      <c r="J151" s="305"/>
      <c r="K151" s="306"/>
      <c r="L151" s="306"/>
      <c r="M151" s="307"/>
      <c r="N151" s="308"/>
      <c r="O151" s="309"/>
      <c r="P151" s="305"/>
      <c r="Q151" s="310"/>
      <c r="R151" s="311"/>
      <c r="S151" s="8"/>
      <c r="T151" s="279"/>
      <c r="U151" s="280"/>
      <c r="V151" s="281"/>
      <c r="W151" s="282"/>
      <c r="X151" s="282"/>
      <c r="Y151" s="13"/>
      <c r="Z151" s="13"/>
      <c r="AA151" s="18"/>
      <c r="AB151" s="19"/>
      <c r="AC151" s="20"/>
      <c r="AD151" s="21"/>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34"/>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row>
    <row r="152" spans="1:92" s="1" customFormat="1" ht="12.75">
      <c r="A152" s="70">
        <v>64</v>
      </c>
      <c r="B152" s="89" t="s">
        <v>602</v>
      </c>
      <c r="C152" s="162" t="s">
        <v>603</v>
      </c>
      <c r="D152" s="73" t="s">
        <v>604</v>
      </c>
      <c r="E152" s="125" t="s">
        <v>605</v>
      </c>
      <c r="F152" s="163"/>
      <c r="G152" s="493" t="s">
        <v>606</v>
      </c>
      <c r="H152" s="128" t="s">
        <v>607</v>
      </c>
      <c r="I152" s="78" t="str">
        <f>R</f>
        <v>Réelle</v>
      </c>
      <c r="J152" s="78" t="s">
        <v>608</v>
      </c>
      <c r="K152" s="252" t="s">
        <v>609</v>
      </c>
      <c r="L152" s="164"/>
      <c r="M152" s="177" t="str">
        <f>"(3)"</f>
        <v>(3)</v>
      </c>
      <c r="N152" s="178"/>
      <c r="O152" s="179" t="str">
        <f>P</f>
        <v>. . .</v>
      </c>
      <c r="P152" s="113" t="str">
        <f>"(3)"</f>
        <v>(3)</v>
      </c>
      <c r="Q152" s="113" t="str">
        <f>"(3)"</f>
        <v>(3)</v>
      </c>
      <c r="R152" s="193" t="str">
        <f>"(3)"</f>
        <v>(3)</v>
      </c>
      <c r="S152" s="368"/>
      <c r="T152" s="9"/>
      <c r="U152" s="10"/>
      <c r="V152" s="11"/>
      <c r="W152" s="282" t="str">
        <f>t</f>
        <v>TVO</v>
      </c>
      <c r="X152" s="282">
        <v>5930</v>
      </c>
      <c r="Y152" s="276">
        <v>9052</v>
      </c>
      <c r="Z152" s="35">
        <v>9301</v>
      </c>
      <c r="AA152" s="276"/>
      <c r="AB152" s="19"/>
      <c r="AC152" s="20"/>
      <c r="AD152" s="21"/>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34"/>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row>
    <row r="153" spans="1:92" s="1" customFormat="1" ht="12.75">
      <c r="A153" s="70">
        <v>65</v>
      </c>
      <c r="B153" s="89" t="s">
        <v>610</v>
      </c>
      <c r="C153" s="162" t="s">
        <v>611</v>
      </c>
      <c r="D153" s="302"/>
      <c r="E153" s="303"/>
      <c r="F153" s="34"/>
      <c r="G153" s="507"/>
      <c r="H153" s="508"/>
      <c r="I153" s="305"/>
      <c r="J153" s="305"/>
      <c r="K153" s="306"/>
      <c r="L153" s="306"/>
      <c r="M153" s="307"/>
      <c r="N153" s="308"/>
      <c r="O153" s="309"/>
      <c r="P153" s="305"/>
      <c r="Q153" s="310"/>
      <c r="R153" s="311"/>
      <c r="S153" s="482"/>
      <c r="T153" s="404"/>
      <c r="U153" s="405"/>
      <c r="V153" s="11"/>
      <c r="W153" s="12"/>
      <c r="X153" s="12"/>
      <c r="Y153" s="13"/>
      <c r="Z153" s="13"/>
      <c r="AA153" s="276"/>
      <c r="AB153" s="19"/>
      <c r="AC153" s="20"/>
      <c r="AD153" s="21"/>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34"/>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row>
    <row r="154" spans="1:92" s="1" customFormat="1" ht="12.75">
      <c r="A154" s="70"/>
      <c r="B154" s="89"/>
      <c r="C154" s="162" t="s">
        <v>612</v>
      </c>
      <c r="D154" s="73" t="s">
        <v>613</v>
      </c>
      <c r="E154" s="125" t="s">
        <v>614</v>
      </c>
      <c r="F154" s="163"/>
      <c r="G154" s="493" t="s">
        <v>615</v>
      </c>
      <c r="H154" s="128" t="s">
        <v>616</v>
      </c>
      <c r="I154" s="113" t="str">
        <f>R</f>
        <v>Réelle</v>
      </c>
      <c r="J154" s="78" t="s">
        <v>617</v>
      </c>
      <c r="K154" s="252" t="s">
        <v>618</v>
      </c>
      <c r="L154" s="164"/>
      <c r="M154" s="177" t="str">
        <f>"(3)"</f>
        <v>(3)</v>
      </c>
      <c r="N154" s="178"/>
      <c r="O154" s="179" t="str">
        <f>P</f>
        <v>. . .</v>
      </c>
      <c r="P154" s="113" t="str">
        <f>"(3)"</f>
        <v>(3)</v>
      </c>
      <c r="Q154" s="113" t="str">
        <f>"(3)"</f>
        <v>(3)</v>
      </c>
      <c r="R154" s="193" t="str">
        <f>"(3)"</f>
        <v>(3)</v>
      </c>
      <c r="S154" s="482"/>
      <c r="T154" s="9"/>
      <c r="U154" s="10"/>
      <c r="V154" s="11"/>
      <c r="W154" s="282" t="str">
        <f>t</f>
        <v>TVO</v>
      </c>
      <c r="X154" s="282">
        <v>5930</v>
      </c>
      <c r="Y154" s="35"/>
      <c r="Z154" s="35"/>
      <c r="AA154" s="13"/>
      <c r="AB154" s="19"/>
      <c r="AC154" s="20"/>
      <c r="AD154" s="21"/>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34"/>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row>
    <row r="155" spans="1:92" s="1" customFormat="1" ht="12.75">
      <c r="A155" s="70"/>
      <c r="B155" s="89"/>
      <c r="C155" s="162" t="s">
        <v>619</v>
      </c>
      <c r="D155" s="73"/>
      <c r="E155" s="125"/>
      <c r="F155" s="163"/>
      <c r="G155" s="493"/>
      <c r="H155" s="128"/>
      <c r="I155" s="113"/>
      <c r="J155" s="78"/>
      <c r="K155" s="164"/>
      <c r="L155" s="164"/>
      <c r="M155" s="177"/>
      <c r="N155" s="178"/>
      <c r="O155" s="179"/>
      <c r="P155" s="495"/>
      <c r="Q155" s="168"/>
      <c r="R155" s="169"/>
      <c r="S155" s="283"/>
      <c r="T155" s="404"/>
      <c r="U155" s="405"/>
      <c r="V155" s="11"/>
      <c r="W155" s="12"/>
      <c r="X155" s="12"/>
      <c r="Y155" s="276">
        <v>9306</v>
      </c>
      <c r="Z155" s="276">
        <v>9187</v>
      </c>
      <c r="AA155" s="35">
        <v>9301</v>
      </c>
      <c r="AB155" s="19"/>
      <c r="AC155" s="20"/>
      <c r="AD155" s="21"/>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34"/>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row>
    <row r="156" spans="1:92" s="1" customFormat="1" ht="12.75">
      <c r="A156" s="70"/>
      <c r="B156" s="89"/>
      <c r="C156" s="162" t="s">
        <v>620</v>
      </c>
      <c r="D156" s="73"/>
      <c r="E156" s="125"/>
      <c r="F156" s="163"/>
      <c r="G156" s="493"/>
      <c r="H156" s="128"/>
      <c r="I156" s="113"/>
      <c r="J156" s="78"/>
      <c r="K156" s="164"/>
      <c r="L156" s="164"/>
      <c r="M156" s="177"/>
      <c r="N156" s="178"/>
      <c r="O156" s="179"/>
      <c r="P156" s="495"/>
      <c r="Q156" s="168"/>
      <c r="R156" s="169"/>
      <c r="S156" s="283"/>
      <c r="T156" s="85"/>
      <c r="U156" s="86"/>
      <c r="V156" s="87"/>
      <c r="W156" s="88"/>
      <c r="X156" s="88"/>
      <c r="Y156" s="18"/>
      <c r="Z156" s="18"/>
      <c r="AA156" s="35"/>
      <c r="AB156" s="19"/>
      <c r="AC156" s="20"/>
      <c r="AD156" s="21"/>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34"/>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row>
    <row r="157" spans="1:92" s="1" customFormat="1" ht="18.75">
      <c r="A157" s="371">
        <v>66</v>
      </c>
      <c r="B157" s="372" t="s">
        <v>621</v>
      </c>
      <c r="C157" s="509" t="s">
        <v>622</v>
      </c>
      <c r="D157" s="268" t="s">
        <v>623</v>
      </c>
      <c r="E157" s="264" t="s">
        <v>624</v>
      </c>
      <c r="F157" s="265"/>
      <c r="G157" s="490" t="s">
        <v>625</v>
      </c>
      <c r="H157" s="267" t="s">
        <v>626</v>
      </c>
      <c r="I157" s="294">
        <f>VFGO</f>
        <v>32.04</v>
      </c>
      <c r="J157" s="268" t="s">
        <v>627</v>
      </c>
      <c r="K157" s="510" t="s">
        <v>628</v>
      </c>
      <c r="L157" s="269"/>
      <c r="M157" s="270">
        <f>TIFD</f>
        <v>5.66</v>
      </c>
      <c r="N157" s="271"/>
      <c r="O157" s="272" t="str">
        <f>P</f>
        <v>. . .</v>
      </c>
      <c r="P157" s="294" t="str">
        <f>"(18)"</f>
        <v>(18)</v>
      </c>
      <c r="Q157" s="168">
        <f>SUM(I157:P157)*19.6%</f>
        <v>7.389200000000001</v>
      </c>
      <c r="R157" s="169">
        <f>SUM(I157:P157)*13%</f>
        <v>4.901000000000001</v>
      </c>
      <c r="S157" s="511"/>
      <c r="T157" s="279">
        <v>5711</v>
      </c>
      <c r="U157" s="280"/>
      <c r="V157" s="281">
        <v>5732</v>
      </c>
      <c r="W157" s="284">
        <v>5936</v>
      </c>
      <c r="X157" s="284"/>
      <c r="Y157" s="18">
        <v>4012</v>
      </c>
      <c r="Z157" s="18">
        <v>9301</v>
      </c>
      <c r="AA157" s="18"/>
      <c r="AB157" s="19"/>
      <c r="AC157" s="20"/>
      <c r="AD157" s="7"/>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34"/>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row>
    <row r="158" spans="1:92" s="1" customFormat="1" ht="12.75">
      <c r="A158" s="70">
        <v>67</v>
      </c>
      <c r="B158" s="89" t="s">
        <v>629</v>
      </c>
      <c r="C158" s="162" t="s">
        <v>630</v>
      </c>
      <c r="D158" s="78"/>
      <c r="E158" s="125"/>
      <c r="F158" s="163"/>
      <c r="G158" s="493"/>
      <c r="H158" s="494"/>
      <c r="I158" s="113"/>
      <c r="J158" s="78"/>
      <c r="K158" s="250"/>
      <c r="L158" s="164"/>
      <c r="M158" s="177"/>
      <c r="N158" s="178"/>
      <c r="O158" s="179"/>
      <c r="P158" s="113"/>
      <c r="Q158" s="168"/>
      <c r="R158" s="169"/>
      <c r="S158" s="388"/>
      <c r="T158" s="58"/>
      <c r="U158" s="59"/>
      <c r="V158" s="60"/>
      <c r="W158" s="61"/>
      <c r="X158" s="61"/>
      <c r="Y158" s="18">
        <v>4012</v>
      </c>
      <c r="Z158" s="18">
        <v>9301</v>
      </c>
      <c r="AA158" s="18"/>
      <c r="AB158" s="19"/>
      <c r="AC158" s="20"/>
      <c r="AD158" s="7"/>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34"/>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row>
    <row r="159" spans="1:92" s="1" customFormat="1" ht="12.75">
      <c r="A159" s="70"/>
      <c r="B159" s="89"/>
      <c r="C159" s="162" t="s">
        <v>631</v>
      </c>
      <c r="D159" s="78" t="s">
        <v>632</v>
      </c>
      <c r="E159" s="125" t="s">
        <v>633</v>
      </c>
      <c r="F159" s="163"/>
      <c r="G159" s="493" t="s">
        <v>634</v>
      </c>
      <c r="H159" s="494" t="s">
        <v>635</v>
      </c>
      <c r="I159" s="113">
        <f>VFGO</f>
        <v>32.04</v>
      </c>
      <c r="J159" s="78" t="s">
        <v>636</v>
      </c>
      <c r="K159" s="250" t="s">
        <v>637</v>
      </c>
      <c r="L159" s="164"/>
      <c r="M159" s="177" t="s">
        <v>638</v>
      </c>
      <c r="N159" s="178"/>
      <c r="O159" s="179" t="str">
        <f>P</f>
        <v>. . .</v>
      </c>
      <c r="P159" s="113" t="str">
        <f>P</f>
        <v>. . .</v>
      </c>
      <c r="Q159" s="168">
        <f>SUM(I159:P159)*19.6%</f>
        <v>6.27984</v>
      </c>
      <c r="R159" s="169">
        <f>SUM(I159:P159)*13%</f>
        <v>4.1652000000000005</v>
      </c>
      <c r="S159" s="199"/>
      <c r="T159" s="9"/>
      <c r="U159" s="10"/>
      <c r="V159" s="11"/>
      <c r="W159" s="219">
        <v>5967</v>
      </c>
      <c r="X159" s="219"/>
      <c r="Y159" s="18">
        <v>5719</v>
      </c>
      <c r="Z159" s="18">
        <v>9306</v>
      </c>
      <c r="AA159" s="13">
        <v>9301</v>
      </c>
      <c r="AB159" s="14"/>
      <c r="AC159" s="14"/>
      <c r="AD159" s="7"/>
      <c r="AE159" s="7"/>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34"/>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row>
    <row r="160" spans="1:92" s="1" customFormat="1" ht="12.75">
      <c r="A160" s="70">
        <v>68</v>
      </c>
      <c r="B160" s="89" t="s">
        <v>639</v>
      </c>
      <c r="C160" s="162" t="s">
        <v>640</v>
      </c>
      <c r="D160" s="78" t="s">
        <v>641</v>
      </c>
      <c r="E160" s="125" t="s">
        <v>642</v>
      </c>
      <c r="F160" s="163"/>
      <c r="G160" s="493" t="s">
        <v>643</v>
      </c>
      <c r="H160" s="494" t="s">
        <v>644</v>
      </c>
      <c r="I160" s="113">
        <f>VFGO</f>
        <v>32.04</v>
      </c>
      <c r="J160" s="78" t="s">
        <v>645</v>
      </c>
      <c r="K160" s="250" t="s">
        <v>646</v>
      </c>
      <c r="L160" s="164"/>
      <c r="M160" s="177" t="s">
        <v>647</v>
      </c>
      <c r="N160" s="178"/>
      <c r="O160" s="179" t="str">
        <f>P</f>
        <v>. . .</v>
      </c>
      <c r="P160" s="113" t="str">
        <f>P</f>
        <v>. . .</v>
      </c>
      <c r="Q160" s="168">
        <f>TVAGAZOLAUTREMETRO</f>
        <v>6.27984</v>
      </c>
      <c r="R160" s="169">
        <f>TVAGAZOLAUTRECORSE</f>
        <v>4.1652000000000005</v>
      </c>
      <c r="S160" s="57"/>
      <c r="T160" s="9"/>
      <c r="U160" s="10"/>
      <c r="V160" s="11"/>
      <c r="W160" s="219">
        <v>5967</v>
      </c>
      <c r="X160" s="219"/>
      <c r="Y160" s="18">
        <v>5719</v>
      </c>
      <c r="Z160" s="18">
        <v>9306</v>
      </c>
      <c r="AA160" s="18">
        <v>9301</v>
      </c>
      <c r="AB160" s="19"/>
      <c r="AC160" s="512"/>
      <c r="AD160" s="21"/>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34"/>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row>
    <row r="161" spans="1:92" s="1" customFormat="1" ht="12.75">
      <c r="A161" s="70">
        <v>69</v>
      </c>
      <c r="B161" s="89" t="s">
        <v>648</v>
      </c>
      <c r="C161" s="162" t="s">
        <v>649</v>
      </c>
      <c r="D161" s="78" t="s">
        <v>650</v>
      </c>
      <c r="E161" s="125" t="s">
        <v>651</v>
      </c>
      <c r="F161" s="163"/>
      <c r="G161" s="498" t="s">
        <v>652</v>
      </c>
      <c r="H161" s="89" t="s">
        <v>653</v>
      </c>
      <c r="I161" s="513">
        <f>VFGO</f>
        <v>32.04</v>
      </c>
      <c r="J161" s="78" t="s">
        <v>654</v>
      </c>
      <c r="K161" s="514" t="s">
        <v>655</v>
      </c>
      <c r="L161" s="163"/>
      <c r="M161" s="177">
        <f>TIGO</f>
        <v>41.69</v>
      </c>
      <c r="N161" s="178"/>
      <c r="O161" s="179" t="str">
        <f>P</f>
        <v>. . .</v>
      </c>
      <c r="P161" s="113" t="str">
        <f>"(18)"</f>
        <v>(18)</v>
      </c>
      <c r="Q161" s="168">
        <f>SUM(I161:P161)*19.6%</f>
        <v>14.45108</v>
      </c>
      <c r="R161" s="169">
        <f>SUM(I161:P161)*13%</f>
        <v>9.5849</v>
      </c>
      <c r="S161" s="57"/>
      <c r="T161" s="58">
        <v>5736</v>
      </c>
      <c r="U161" s="59"/>
      <c r="V161" s="60">
        <v>5732</v>
      </c>
      <c r="W161" s="219">
        <v>5937</v>
      </c>
      <c r="X161" s="219"/>
      <c r="Y161" s="18"/>
      <c r="Z161" s="18"/>
      <c r="AA161" s="18"/>
      <c r="AB161" s="19"/>
      <c r="AC161" s="512"/>
      <c r="AD161" s="21"/>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34"/>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row>
    <row r="162" spans="1:92" s="522" customFormat="1" ht="12.75">
      <c r="A162" s="70">
        <v>70</v>
      </c>
      <c r="B162" s="89" t="s">
        <v>656</v>
      </c>
      <c r="C162" s="162" t="s">
        <v>657</v>
      </c>
      <c r="D162" s="78" t="s">
        <v>658</v>
      </c>
      <c r="E162" s="125" t="s">
        <v>659</v>
      </c>
      <c r="F162" s="163"/>
      <c r="G162" s="498" t="s">
        <v>660</v>
      </c>
      <c r="H162" s="89" t="s">
        <v>661</v>
      </c>
      <c r="I162" s="513">
        <f>VFGO</f>
        <v>32.04</v>
      </c>
      <c r="J162" s="78" t="s">
        <v>662</v>
      </c>
      <c r="K162" s="514" t="s">
        <v>663</v>
      </c>
      <c r="L162" s="163"/>
      <c r="M162" s="177">
        <f>TIGO</f>
        <v>41.69</v>
      </c>
      <c r="N162" s="178"/>
      <c r="O162" s="179" t="str">
        <f>P</f>
        <v>. . .</v>
      </c>
      <c r="P162" s="113" t="str">
        <f>"(18)"</f>
        <v>(18)</v>
      </c>
      <c r="Q162" s="168">
        <f>TVAGOMETRO</f>
        <v>14.45108</v>
      </c>
      <c r="R162" s="169">
        <f>TVAGOCORSE</f>
        <v>9.5849</v>
      </c>
      <c r="S162" s="57"/>
      <c r="T162" s="58">
        <v>5712</v>
      </c>
      <c r="U162" s="59"/>
      <c r="V162" s="60">
        <v>5732</v>
      </c>
      <c r="W162" s="219">
        <v>5937</v>
      </c>
      <c r="X162" s="219"/>
      <c r="Y162" s="515">
        <v>9306</v>
      </c>
      <c r="Z162" s="515">
        <v>9187</v>
      </c>
      <c r="AA162" s="515">
        <v>9301</v>
      </c>
      <c r="AB162" s="516"/>
      <c r="AC162" s="517"/>
      <c r="AD162" s="518"/>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20"/>
      <c r="BH162" s="521"/>
      <c r="BI162" s="521"/>
      <c r="BJ162" s="521"/>
      <c r="BK162" s="521"/>
      <c r="BL162" s="521"/>
      <c r="BM162" s="521"/>
      <c r="BN162" s="521"/>
      <c r="BO162" s="521"/>
      <c r="BP162" s="521"/>
      <c r="BQ162" s="521"/>
      <c r="BR162" s="521"/>
      <c r="BS162" s="521"/>
      <c r="BT162" s="521"/>
      <c r="BU162" s="521"/>
      <c r="BV162" s="521"/>
      <c r="BW162" s="521"/>
      <c r="BX162" s="521"/>
      <c r="BY162" s="521"/>
      <c r="BZ162" s="521"/>
      <c r="CA162" s="521"/>
      <c r="CB162" s="521"/>
      <c r="CC162" s="521"/>
      <c r="CD162" s="521"/>
      <c r="CE162" s="521"/>
      <c r="CF162" s="521"/>
      <c r="CG162" s="521"/>
      <c r="CH162" s="521"/>
      <c r="CI162" s="521"/>
      <c r="CJ162" s="521"/>
      <c r="CK162" s="521"/>
      <c r="CL162" s="521"/>
      <c r="CM162" s="521"/>
      <c r="CN162" s="521"/>
    </row>
    <row r="163" spans="1:92" s="1" customFormat="1" ht="12.75">
      <c r="A163" s="70"/>
      <c r="B163" s="89"/>
      <c r="C163" s="162" t="s">
        <v>664</v>
      </c>
      <c r="D163" s="78"/>
      <c r="E163" s="125"/>
      <c r="F163" s="163"/>
      <c r="G163" s="493"/>
      <c r="H163" s="128"/>
      <c r="I163" s="113"/>
      <c r="J163" s="78"/>
      <c r="K163" s="164"/>
      <c r="L163" s="164"/>
      <c r="M163" s="177"/>
      <c r="N163" s="178"/>
      <c r="O163" s="179"/>
      <c r="P163" s="495"/>
      <c r="Q163" s="168"/>
      <c r="R163" s="169"/>
      <c r="S163" s="57"/>
      <c r="T163" s="58"/>
      <c r="U163" s="59"/>
      <c r="V163" s="60"/>
      <c r="W163" s="61"/>
      <c r="X163" s="61"/>
      <c r="Y163" s="18">
        <v>4012</v>
      </c>
      <c r="Z163" s="18">
        <v>9301</v>
      </c>
      <c r="AA163" s="18"/>
      <c r="AB163" s="19"/>
      <c r="AC163" s="20"/>
      <c r="AD163" s="21"/>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34"/>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row>
    <row r="164" spans="1:59" s="7" customFormat="1" ht="12.75">
      <c r="A164" s="371">
        <v>71</v>
      </c>
      <c r="B164" s="372" t="s">
        <v>665</v>
      </c>
      <c r="C164" s="187" t="s">
        <v>666</v>
      </c>
      <c r="D164" s="380" t="s">
        <v>667</v>
      </c>
      <c r="E164" s="375" t="s">
        <v>668</v>
      </c>
      <c r="F164" s="523"/>
      <c r="G164" s="524" t="s">
        <v>669</v>
      </c>
      <c r="H164" s="378" t="s">
        <v>670</v>
      </c>
      <c r="I164" s="379">
        <f>VFFOD</f>
        <v>29.7</v>
      </c>
      <c r="J164" s="380" t="s">
        <v>671</v>
      </c>
      <c r="K164" s="381" t="s">
        <v>672</v>
      </c>
      <c r="L164" s="382"/>
      <c r="M164" s="383">
        <f>TIFD</f>
        <v>5.66</v>
      </c>
      <c r="N164" s="384"/>
      <c r="O164" s="385" t="str">
        <f>P</f>
        <v>. . .</v>
      </c>
      <c r="P164" s="379" t="str">
        <f>"(18)"</f>
        <v>(18)</v>
      </c>
      <c r="Q164" s="525">
        <f>SUM(I164:P164)*19.6%</f>
        <v>6.93056</v>
      </c>
      <c r="R164" s="526">
        <f>SUM(I164:P164)*13%</f>
        <v>4.5968</v>
      </c>
      <c r="S164" s="283"/>
      <c r="T164" s="527">
        <v>5710</v>
      </c>
      <c r="U164" s="528"/>
      <c r="V164" s="529">
        <v>5732</v>
      </c>
      <c r="W164" s="530">
        <v>5911</v>
      </c>
      <c r="X164" s="530"/>
      <c r="Y164" s="170">
        <v>9196</v>
      </c>
      <c r="Z164" s="170">
        <v>9306</v>
      </c>
      <c r="AA164" s="18">
        <v>9301</v>
      </c>
      <c r="AB164" s="19"/>
      <c r="AC164" s="20"/>
      <c r="AD164" s="21"/>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34"/>
    </row>
    <row r="165" spans="1:92" s="1" customFormat="1" ht="12.75">
      <c r="A165" s="70">
        <v>72</v>
      </c>
      <c r="B165" s="89" t="s">
        <v>673</v>
      </c>
      <c r="C165" s="162" t="s">
        <v>674</v>
      </c>
      <c r="D165" s="78" t="s">
        <v>675</v>
      </c>
      <c r="E165" s="125" t="s">
        <v>676</v>
      </c>
      <c r="F165" s="163"/>
      <c r="G165" s="493" t="s">
        <v>677</v>
      </c>
      <c r="H165" s="494" t="s">
        <v>678</v>
      </c>
      <c r="I165" s="113">
        <f>VFFOD</f>
        <v>29.7</v>
      </c>
      <c r="J165" s="78" t="s">
        <v>679</v>
      </c>
      <c r="K165" s="250" t="s">
        <v>680</v>
      </c>
      <c r="L165" s="164"/>
      <c r="M165" s="177" t="s">
        <v>681</v>
      </c>
      <c r="N165" s="178"/>
      <c r="O165" s="179" t="str">
        <f>P</f>
        <v>. . .</v>
      </c>
      <c r="P165" s="113" t="str">
        <f>P</f>
        <v>. . .</v>
      </c>
      <c r="Q165" s="168">
        <f>TVAGAZOLAUTREMETRO</f>
        <v>6.27984</v>
      </c>
      <c r="R165" s="169">
        <f>TVAGAZOLAUTRECORSE</f>
        <v>4.1652000000000005</v>
      </c>
      <c r="S165" s="482"/>
      <c r="T165" s="9"/>
      <c r="U165" s="10"/>
      <c r="V165" s="11"/>
      <c r="W165" s="219">
        <v>5967</v>
      </c>
      <c r="X165" s="219"/>
      <c r="Y165" s="18"/>
      <c r="Z165" s="18"/>
      <c r="AA165" s="18"/>
      <c r="AB165" s="19"/>
      <c r="AC165" s="20"/>
      <c r="AD165" s="21"/>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34"/>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row>
    <row r="166" spans="1:59" s="7" customFormat="1" ht="12.75">
      <c r="A166" s="70">
        <v>73</v>
      </c>
      <c r="B166" s="89" t="s">
        <v>682</v>
      </c>
      <c r="C166" s="162" t="s">
        <v>683</v>
      </c>
      <c r="D166" s="78" t="s">
        <v>684</v>
      </c>
      <c r="E166" s="125" t="s">
        <v>685</v>
      </c>
      <c r="F166" s="163"/>
      <c r="G166" s="498" t="s">
        <v>686</v>
      </c>
      <c r="H166" s="89" t="s">
        <v>687</v>
      </c>
      <c r="I166" s="113">
        <f>VFFOD</f>
        <v>29.7</v>
      </c>
      <c r="J166" s="78" t="s">
        <v>688</v>
      </c>
      <c r="K166" s="514" t="s">
        <v>689</v>
      </c>
      <c r="L166" s="163"/>
      <c r="M166" s="177">
        <f>TIGO</f>
        <v>41.69</v>
      </c>
      <c r="N166" s="178"/>
      <c r="O166" s="179" t="str">
        <f>P</f>
        <v>. . .</v>
      </c>
      <c r="P166" s="113" t="str">
        <f>"(18)"</f>
        <v>(18)</v>
      </c>
      <c r="Q166" s="168">
        <f>TVAGOAUTRMETRO</f>
        <v>14.19628</v>
      </c>
      <c r="R166" s="169">
        <f>TVAGOAUTRCORSE</f>
        <v>9.415899999999999</v>
      </c>
      <c r="S166" s="482"/>
      <c r="T166" s="182">
        <v>5712</v>
      </c>
      <c r="U166" s="183"/>
      <c r="V166" s="184">
        <v>5732</v>
      </c>
      <c r="W166" s="190">
        <v>5934</v>
      </c>
      <c r="X166" s="190"/>
      <c r="Y166" s="18">
        <v>4012</v>
      </c>
      <c r="Z166" s="18">
        <v>9301</v>
      </c>
      <c r="AA166" s="18"/>
      <c r="AB166" s="19"/>
      <c r="AC166" s="20"/>
      <c r="AD166" s="21"/>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34"/>
    </row>
    <row r="167" spans="1:59" s="7" customFormat="1" ht="12.75">
      <c r="A167" s="70"/>
      <c r="B167" s="89"/>
      <c r="C167" s="162" t="s">
        <v>690</v>
      </c>
      <c r="D167" s="73"/>
      <c r="E167" s="125"/>
      <c r="F167" s="163"/>
      <c r="G167" s="493"/>
      <c r="H167" s="494"/>
      <c r="I167" s="113"/>
      <c r="J167" s="78"/>
      <c r="K167" s="164"/>
      <c r="L167" s="164"/>
      <c r="M167" s="177"/>
      <c r="N167" s="178"/>
      <c r="O167" s="179"/>
      <c r="P167" s="180"/>
      <c r="Q167" s="168"/>
      <c r="R167" s="169"/>
      <c r="S167" s="482"/>
      <c r="T167" s="58"/>
      <c r="U167" s="59"/>
      <c r="V167" s="60"/>
      <c r="W167" s="61"/>
      <c r="X167" s="61"/>
      <c r="Y167" s="18">
        <v>9197</v>
      </c>
      <c r="Z167" s="18">
        <v>9306</v>
      </c>
      <c r="AA167" s="170">
        <v>9301</v>
      </c>
      <c r="AB167" s="19"/>
      <c r="AC167" s="20"/>
      <c r="AD167" s="531"/>
      <c r="AE167" s="448"/>
      <c r="AF167" s="448"/>
      <c r="AG167" s="448"/>
      <c r="AH167" s="448"/>
      <c r="AI167" s="448"/>
      <c r="AJ167" s="448"/>
      <c r="AK167" s="448"/>
      <c r="AL167" s="448"/>
      <c r="AM167" s="448"/>
      <c r="AN167" s="448"/>
      <c r="AO167" s="448"/>
      <c r="AP167" s="448"/>
      <c r="AQ167" s="448"/>
      <c r="AR167" s="448"/>
      <c r="AS167" s="448"/>
      <c r="AT167" s="448"/>
      <c r="AU167" s="448"/>
      <c r="AV167" s="448"/>
      <c r="AW167" s="448"/>
      <c r="AX167" s="448"/>
      <c r="AY167" s="448"/>
      <c r="AZ167" s="448"/>
      <c r="BA167" s="448"/>
      <c r="BB167" s="448"/>
      <c r="BC167" s="448"/>
      <c r="BD167" s="448"/>
      <c r="BE167" s="448"/>
      <c r="BF167" s="448"/>
      <c r="BG167" s="447"/>
    </row>
    <row r="168" spans="1:92" s="1" customFormat="1" ht="12.75">
      <c r="A168" s="70">
        <v>74</v>
      </c>
      <c r="B168" s="89" t="s">
        <v>691</v>
      </c>
      <c r="C168" s="162" t="s">
        <v>692</v>
      </c>
      <c r="D168" s="78" t="s">
        <v>693</v>
      </c>
      <c r="E168" s="125">
        <f>TEChuilelourde</f>
        <v>0</v>
      </c>
      <c r="F168" s="163"/>
      <c r="G168" s="498" t="s">
        <v>694</v>
      </c>
      <c r="H168" s="89" t="s">
        <v>695</v>
      </c>
      <c r="I168" s="113">
        <f>VFFOD</f>
        <v>29.7</v>
      </c>
      <c r="J168" s="78" t="s">
        <v>696</v>
      </c>
      <c r="K168" s="218">
        <f>ROUND(I168*TEChuilelourde,2)</f>
        <v>1.04</v>
      </c>
      <c r="L168" s="163"/>
      <c r="M168" s="177" t="s">
        <v>697</v>
      </c>
      <c r="N168" s="178"/>
      <c r="O168" s="179" t="str">
        <f>P</f>
        <v>. . .</v>
      </c>
      <c r="P168" s="113" t="str">
        <f>P</f>
        <v>. . .</v>
      </c>
      <c r="Q168" s="168">
        <f>TVAGAZOLAUTREMETRO</f>
        <v>6.27984</v>
      </c>
      <c r="R168" s="169">
        <f>TVAGAZOLAUTRECORSE</f>
        <v>4.1652000000000005</v>
      </c>
      <c r="S168" s="482"/>
      <c r="T168" s="9"/>
      <c r="U168" s="10"/>
      <c r="V168" s="440"/>
      <c r="W168" s="219">
        <v>5967</v>
      </c>
      <c r="X168" s="219"/>
      <c r="Y168" s="18"/>
      <c r="Z168" s="18"/>
      <c r="AA168" s="18"/>
      <c r="AB168" s="19"/>
      <c r="AC168" s="20"/>
      <c r="AD168" s="531"/>
      <c r="AE168" s="448"/>
      <c r="AF168" s="448"/>
      <c r="AG168" s="448"/>
      <c r="AH168" s="448"/>
      <c r="AI168" s="448"/>
      <c r="AJ168" s="448"/>
      <c r="AK168" s="448"/>
      <c r="AL168" s="448"/>
      <c r="AM168" s="448"/>
      <c r="AN168" s="448"/>
      <c r="AO168" s="448"/>
      <c r="AP168" s="448"/>
      <c r="AQ168" s="448"/>
      <c r="AR168" s="448"/>
      <c r="AS168" s="448"/>
      <c r="AT168" s="448"/>
      <c r="AU168" s="448"/>
      <c r="AV168" s="448"/>
      <c r="AW168" s="448"/>
      <c r="AX168" s="448"/>
      <c r="AY168" s="448"/>
      <c r="AZ168" s="448"/>
      <c r="BA168" s="448"/>
      <c r="BB168" s="448"/>
      <c r="BC168" s="448"/>
      <c r="BD168" s="448"/>
      <c r="BE168" s="448"/>
      <c r="BF168" s="448"/>
      <c r="BG168" s="44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row>
    <row r="169" spans="1:92" s="1" customFormat="1" ht="12.75">
      <c r="A169" s="70">
        <v>75</v>
      </c>
      <c r="B169" s="89" t="s">
        <v>698</v>
      </c>
      <c r="C169" s="162" t="s">
        <v>699</v>
      </c>
      <c r="D169" s="78" t="s">
        <v>700</v>
      </c>
      <c r="E169" s="125">
        <f>TEChuilelourde</f>
        <v>0</v>
      </c>
      <c r="F169" s="163"/>
      <c r="G169" s="498" t="s">
        <v>701</v>
      </c>
      <c r="H169" s="89" t="s">
        <v>702</v>
      </c>
      <c r="I169" s="113">
        <f>VFFOD</f>
        <v>29.7</v>
      </c>
      <c r="J169" s="78" t="s">
        <v>703</v>
      </c>
      <c r="K169" s="218">
        <f>ROUND(I169*TEChuilelourde,2)</f>
        <v>1.04</v>
      </c>
      <c r="L169" s="163"/>
      <c r="M169" s="177">
        <f>TIGO</f>
        <v>41.69</v>
      </c>
      <c r="N169" s="178"/>
      <c r="O169" s="179" t="str">
        <f>P</f>
        <v>. . .</v>
      </c>
      <c r="P169" s="113" t="str">
        <f>"(18)"</f>
        <v>(18)</v>
      </c>
      <c r="Q169" s="168">
        <f>SUM(I169:P169)*19.6%</f>
        <v>14.19628</v>
      </c>
      <c r="R169" s="169">
        <f>SUM(I169:P169)*13%</f>
        <v>9.415899999999999</v>
      </c>
      <c r="S169" s="57"/>
      <c r="T169" s="58">
        <v>5712</v>
      </c>
      <c r="U169" s="59"/>
      <c r="V169" s="184">
        <v>5732</v>
      </c>
      <c r="W169" s="219">
        <v>5934</v>
      </c>
      <c r="X169" s="219"/>
      <c r="Y169" s="18"/>
      <c r="Z169" s="18"/>
      <c r="AA169" s="18"/>
      <c r="AB169" s="19"/>
      <c r="AC169" s="20"/>
      <c r="AD169" s="21"/>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34"/>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row>
    <row r="170" spans="1:92" s="1" customFormat="1" ht="12.75">
      <c r="A170" s="70"/>
      <c r="B170" s="89"/>
      <c r="C170" s="162"/>
      <c r="D170" s="78"/>
      <c r="E170" s="125"/>
      <c r="F170" s="163"/>
      <c r="G170" s="493"/>
      <c r="H170" s="494"/>
      <c r="I170" s="78"/>
      <c r="J170" s="78"/>
      <c r="K170" s="252"/>
      <c r="L170" s="164"/>
      <c r="M170" s="177"/>
      <c r="N170" s="178"/>
      <c r="O170" s="179"/>
      <c r="P170" s="113"/>
      <c r="Q170" s="180"/>
      <c r="R170" s="181"/>
      <c r="S170" s="189"/>
      <c r="T170" s="58"/>
      <c r="U170" s="59"/>
      <c r="V170" s="60"/>
      <c r="W170" s="61"/>
      <c r="X170" s="61"/>
      <c r="Y170" s="170">
        <v>9052</v>
      </c>
      <c r="Z170" s="170">
        <v>9301</v>
      </c>
      <c r="AA170" s="18"/>
      <c r="AB170" s="19"/>
      <c r="AC170" s="20"/>
      <c r="AD170" s="21"/>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34"/>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row>
    <row r="171" spans="1:92" s="1" customFormat="1" ht="12.75">
      <c r="A171" s="70"/>
      <c r="B171" s="89"/>
      <c r="C171" s="278" t="s">
        <v>704</v>
      </c>
      <c r="D171" s="78"/>
      <c r="E171" s="125"/>
      <c r="F171" s="163"/>
      <c r="G171" s="493"/>
      <c r="H171" s="494"/>
      <c r="I171" s="113"/>
      <c r="J171" s="78"/>
      <c r="K171" s="164"/>
      <c r="L171" s="164"/>
      <c r="M171" s="177"/>
      <c r="N171" s="178"/>
      <c r="O171" s="179"/>
      <c r="P171" s="180"/>
      <c r="Q171" s="168"/>
      <c r="R171" s="169"/>
      <c r="S171" s="482"/>
      <c r="T171" s="58"/>
      <c r="U171" s="59"/>
      <c r="V171" s="60"/>
      <c r="W171" s="61"/>
      <c r="X171" s="61"/>
      <c r="Y171" s="18"/>
      <c r="Z171" s="18"/>
      <c r="AA171" s="18"/>
      <c r="AB171" s="19"/>
      <c r="AC171" s="20"/>
      <c r="AD171" s="531"/>
      <c r="AE171" s="448"/>
      <c r="AF171" s="448"/>
      <c r="AG171" s="448"/>
      <c r="AH171" s="448"/>
      <c r="AI171" s="448"/>
      <c r="AJ171" s="448"/>
      <c r="AK171" s="448"/>
      <c r="AL171" s="448"/>
      <c r="AM171" s="448"/>
      <c r="AN171" s="448"/>
      <c r="AO171" s="448"/>
      <c r="AP171" s="448"/>
      <c r="AQ171" s="448"/>
      <c r="AR171" s="448"/>
      <c r="AS171" s="448"/>
      <c r="AT171" s="448"/>
      <c r="AU171" s="448"/>
      <c r="AV171" s="448"/>
      <c r="AW171" s="448"/>
      <c r="AX171" s="448"/>
      <c r="AY171" s="448"/>
      <c r="AZ171" s="448"/>
      <c r="BA171" s="448"/>
      <c r="BB171" s="448"/>
      <c r="BC171" s="448"/>
      <c r="BD171" s="448"/>
      <c r="BE171" s="448"/>
      <c r="BF171" s="448"/>
      <c r="BG171" s="44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row>
    <row r="172" spans="1:92" s="1" customFormat="1" ht="12.75">
      <c r="A172" s="70">
        <v>76</v>
      </c>
      <c r="B172" s="89" t="s">
        <v>705</v>
      </c>
      <c r="C172" s="162" t="s">
        <v>706</v>
      </c>
      <c r="D172" s="78" t="str">
        <f>P</f>
        <v>. . .</v>
      </c>
      <c r="E172" s="125" t="s">
        <v>707</v>
      </c>
      <c r="F172" s="163"/>
      <c r="G172" s="493" t="s">
        <v>708</v>
      </c>
      <c r="H172" s="128" t="s">
        <v>709</v>
      </c>
      <c r="I172" s="78" t="str">
        <f>R</f>
        <v>Réelle</v>
      </c>
      <c r="J172" s="78" t="s">
        <v>710</v>
      </c>
      <c r="K172" s="252" t="s">
        <v>711</v>
      </c>
      <c r="L172" s="164"/>
      <c r="M172" s="177" t="str">
        <f>"(3)"</f>
        <v>(3)</v>
      </c>
      <c r="N172" s="178"/>
      <c r="O172" s="179" t="str">
        <f>P</f>
        <v>. . .</v>
      </c>
      <c r="P172" s="180" t="str">
        <f>"(3)"</f>
        <v>(3)</v>
      </c>
      <c r="Q172" s="180" t="str">
        <f>"(3)"</f>
        <v>(3)</v>
      </c>
      <c r="R172" s="181" t="str">
        <f>"(3)"</f>
        <v>(3)</v>
      </c>
      <c r="S172" s="482"/>
      <c r="T172" s="9"/>
      <c r="U172" s="10"/>
      <c r="V172" s="11"/>
      <c r="W172" s="185" t="str">
        <f>t</f>
        <v>TVO</v>
      </c>
      <c r="X172" s="185">
        <v>5930</v>
      </c>
      <c r="Y172" s="170">
        <v>9052</v>
      </c>
      <c r="Z172" s="170">
        <v>9301</v>
      </c>
      <c r="AA172" s="18"/>
      <c r="AB172" s="19"/>
      <c r="AC172" s="20"/>
      <c r="AD172" s="21"/>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34"/>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row>
    <row r="173" spans="1:92" s="1" customFormat="1" ht="12.75">
      <c r="A173" s="70">
        <v>77</v>
      </c>
      <c r="B173" s="532" t="s">
        <v>712</v>
      </c>
      <c r="C173" s="162" t="s">
        <v>713</v>
      </c>
      <c r="D173" s="78"/>
      <c r="E173" s="125"/>
      <c r="F173" s="163"/>
      <c r="G173" s="493"/>
      <c r="H173" s="128"/>
      <c r="I173" s="113"/>
      <c r="J173" s="78"/>
      <c r="K173" s="164"/>
      <c r="L173" s="164"/>
      <c r="M173" s="177"/>
      <c r="N173" s="178"/>
      <c r="O173" s="179"/>
      <c r="P173" s="113"/>
      <c r="Q173" s="168"/>
      <c r="R173" s="169"/>
      <c r="S173" s="57"/>
      <c r="T173" s="58"/>
      <c r="U173" s="59"/>
      <c r="V173" s="60"/>
      <c r="W173" s="61"/>
      <c r="X173" s="61"/>
      <c r="Y173" s="18"/>
      <c r="Z173" s="18"/>
      <c r="AA173" s="170"/>
      <c r="AB173" s="19"/>
      <c r="AC173" s="20"/>
      <c r="AD173" s="21"/>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34"/>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row>
    <row r="174" spans="1:92" s="1" customFormat="1" ht="12.75">
      <c r="A174" s="70"/>
      <c r="B174" s="89"/>
      <c r="C174" s="162" t="s">
        <v>714</v>
      </c>
      <c r="D174" s="78" t="str">
        <f>P</f>
        <v>. . .</v>
      </c>
      <c r="E174" s="125" t="s">
        <v>715</v>
      </c>
      <c r="F174" s="163"/>
      <c r="G174" s="493" t="s">
        <v>716</v>
      </c>
      <c r="H174" s="128" t="s">
        <v>717</v>
      </c>
      <c r="I174" s="78" t="str">
        <f>R</f>
        <v>Réelle</v>
      </c>
      <c r="J174" s="78" t="s">
        <v>718</v>
      </c>
      <c r="K174" s="252" t="s">
        <v>719</v>
      </c>
      <c r="L174" s="164"/>
      <c r="M174" s="177" t="str">
        <f>"(3)"</f>
        <v>(3)</v>
      </c>
      <c r="N174" s="178"/>
      <c r="O174" s="179" t="str">
        <f>P</f>
        <v>. . .</v>
      </c>
      <c r="P174" s="180" t="str">
        <f>"(3)"</f>
        <v>(3)</v>
      </c>
      <c r="Q174" s="180" t="str">
        <f>"(3)"</f>
        <v>(3)</v>
      </c>
      <c r="R174" s="181" t="str">
        <f>"(3)"</f>
        <v>(3)</v>
      </c>
      <c r="S174" s="482"/>
      <c r="T174" s="9"/>
      <c r="U174" s="10"/>
      <c r="V174" s="11"/>
      <c r="W174" s="185" t="str">
        <f>t</f>
        <v>TVO</v>
      </c>
      <c r="X174" s="185">
        <v>5930</v>
      </c>
      <c r="Y174" s="170"/>
      <c r="Z174" s="170"/>
      <c r="AA174" s="18"/>
      <c r="AB174" s="19"/>
      <c r="AC174" s="20"/>
      <c r="AD174" s="21"/>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34"/>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row>
    <row r="175" spans="1:92" s="1" customFormat="1" ht="12.75">
      <c r="A175" s="222"/>
      <c r="B175" s="223"/>
      <c r="C175" s="533" t="s">
        <v>720</v>
      </c>
      <c r="D175" s="230"/>
      <c r="E175" s="226"/>
      <c r="F175" s="227"/>
      <c r="G175" s="534"/>
      <c r="H175" s="500"/>
      <c r="I175" s="235"/>
      <c r="J175" s="230"/>
      <c r="K175" s="231"/>
      <c r="L175" s="231"/>
      <c r="M175" s="232"/>
      <c r="N175" s="233"/>
      <c r="O175" s="234"/>
      <c r="P175" s="535"/>
      <c r="Q175" s="501"/>
      <c r="R175" s="502"/>
      <c r="S175" s="482"/>
      <c r="T175" s="58"/>
      <c r="U175" s="59"/>
      <c r="V175" s="60"/>
      <c r="W175" s="61"/>
      <c r="X175" s="61"/>
      <c r="Y175" s="18"/>
      <c r="Z175" s="18"/>
      <c r="AA175" s="170"/>
      <c r="AB175" s="19"/>
      <c r="AC175" s="20"/>
      <c r="AD175" s="21"/>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34"/>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row>
    <row r="176" spans="1:92" s="1" customFormat="1" ht="12.75">
      <c r="A176" s="238"/>
      <c r="B176" s="239"/>
      <c r="C176" s="536" t="s">
        <v>721</v>
      </c>
      <c r="D176" s="244"/>
      <c r="E176" s="242"/>
      <c r="F176" s="243"/>
      <c r="G176" s="537"/>
      <c r="H176" s="504"/>
      <c r="I176" s="98"/>
      <c r="J176" s="244"/>
      <c r="K176" s="245"/>
      <c r="L176" s="245"/>
      <c r="M176" s="246"/>
      <c r="N176" s="247"/>
      <c r="O176" s="248"/>
      <c r="P176" s="538"/>
      <c r="Q176" s="480"/>
      <c r="R176" s="481"/>
      <c r="S176" s="57"/>
      <c r="T176" s="58"/>
      <c r="U176" s="59"/>
      <c r="V176" s="60"/>
      <c r="W176" s="61"/>
      <c r="X176" s="61"/>
      <c r="Y176" s="13"/>
      <c r="Z176" s="13"/>
      <c r="AA176" s="170"/>
      <c r="AB176" s="19"/>
      <c r="AC176" s="20"/>
      <c r="AD176" s="21"/>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34"/>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row>
    <row r="177" spans="1:92" s="1" customFormat="1" ht="12.75">
      <c r="A177" s="70"/>
      <c r="B177" s="317"/>
      <c r="C177" s="107" t="s">
        <v>722</v>
      </c>
      <c r="D177" s="78"/>
      <c r="E177" s="125"/>
      <c r="F177" s="163"/>
      <c r="G177" s="493"/>
      <c r="H177" s="539"/>
      <c r="I177" s="113"/>
      <c r="J177" s="78"/>
      <c r="K177" s="164"/>
      <c r="L177" s="164"/>
      <c r="M177" s="319"/>
      <c r="N177" s="320"/>
      <c r="O177" s="321"/>
      <c r="P177" s="538"/>
      <c r="Q177" s="168"/>
      <c r="R177" s="169"/>
      <c r="S177" s="57"/>
      <c r="T177" s="58"/>
      <c r="U177" s="59"/>
      <c r="V177" s="60"/>
      <c r="W177" s="61"/>
      <c r="X177" s="61"/>
      <c r="Y177" s="13"/>
      <c r="Z177" s="13"/>
      <c r="AA177" s="170"/>
      <c r="AB177" s="19"/>
      <c r="AC177" s="20"/>
      <c r="AD177" s="21"/>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34"/>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row>
    <row r="178" spans="1:92" s="540" customFormat="1" ht="12.75">
      <c r="A178" s="70">
        <v>78</v>
      </c>
      <c r="B178" s="89" t="s">
        <v>723</v>
      </c>
      <c r="C178" s="107" t="s">
        <v>724</v>
      </c>
      <c r="D178" s="78" t="str">
        <f>P</f>
        <v>. . .</v>
      </c>
      <c r="E178" s="125">
        <f>TEChuilelourde</f>
        <v>0</v>
      </c>
      <c r="F178" s="163"/>
      <c r="G178" s="498" t="s">
        <v>725</v>
      </c>
      <c r="H178" s="89" t="s">
        <v>726</v>
      </c>
      <c r="I178" s="113">
        <f>VFFOD</f>
        <v>29.7</v>
      </c>
      <c r="J178" s="78" t="s">
        <v>727</v>
      </c>
      <c r="K178" s="218">
        <f>ROUND(I178*TEChuilelourde,2)</f>
        <v>1.04</v>
      </c>
      <c r="L178" s="163"/>
      <c r="M178" s="177">
        <f>TIGO</f>
        <v>41.69</v>
      </c>
      <c r="N178" s="178"/>
      <c r="O178" s="179" t="str">
        <f>P</f>
        <v>. . .</v>
      </c>
      <c r="P178" s="113" t="s">
        <v>728</v>
      </c>
      <c r="Q178" s="180">
        <f>TVAGOMETRO</f>
        <v>14.45108</v>
      </c>
      <c r="R178" s="181">
        <f>TVAGOCORSE</f>
        <v>9.5849</v>
      </c>
      <c r="S178" s="482"/>
      <c r="T178" s="404">
        <v>5712</v>
      </c>
      <c r="U178" s="405"/>
      <c r="V178" s="11"/>
      <c r="W178" s="402">
        <v>5938</v>
      </c>
      <c r="X178" s="402"/>
      <c r="Y178" s="13">
        <v>9305</v>
      </c>
      <c r="Z178" s="13">
        <v>9301</v>
      </c>
      <c r="AA178" s="170"/>
      <c r="AB178" s="19"/>
      <c r="AC178" s="20"/>
      <c r="AD178" s="21"/>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34"/>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row>
    <row r="179" spans="1:92" s="1" customFormat="1" ht="12.75">
      <c r="A179" s="397">
        <v>79</v>
      </c>
      <c r="B179" s="89" t="s">
        <v>729</v>
      </c>
      <c r="C179" s="210" t="s">
        <v>730</v>
      </c>
      <c r="D179" s="78"/>
      <c r="E179" s="125"/>
      <c r="F179" s="163"/>
      <c r="G179" s="493"/>
      <c r="H179" s="494"/>
      <c r="I179" s="113"/>
      <c r="J179" s="78"/>
      <c r="K179" s="250"/>
      <c r="L179" s="164"/>
      <c r="M179" s="177"/>
      <c r="N179" s="178"/>
      <c r="O179" s="179"/>
      <c r="P179" s="113"/>
      <c r="Q179" s="180"/>
      <c r="R179" s="181"/>
      <c r="S179" s="57"/>
      <c r="T179" s="9"/>
      <c r="U179" s="10"/>
      <c r="V179" s="11"/>
      <c r="W179" s="402"/>
      <c r="X179" s="402"/>
      <c r="Y179" s="170">
        <v>9301</v>
      </c>
      <c r="Z179" s="170"/>
      <c r="AA179" s="13"/>
      <c r="AB179" s="19"/>
      <c r="AC179" s="20"/>
      <c r="AD179" s="21"/>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34"/>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row>
    <row r="180" spans="1:92" s="1" customFormat="1" ht="12.75">
      <c r="A180" s="397"/>
      <c r="B180" s="89"/>
      <c r="C180" s="210" t="s">
        <v>731</v>
      </c>
      <c r="D180" s="78" t="str">
        <f>P</f>
        <v>. . .</v>
      </c>
      <c r="E180" s="125">
        <f>TEChuilelourde</f>
        <v>0</v>
      </c>
      <c r="F180" s="163"/>
      <c r="G180" s="493" t="s">
        <v>732</v>
      </c>
      <c r="H180" s="494" t="s">
        <v>733</v>
      </c>
      <c r="I180" s="113">
        <f>VFBS</f>
        <v>17.14</v>
      </c>
      <c r="J180" s="78" t="s">
        <v>734</v>
      </c>
      <c r="K180" s="250">
        <f>ROUND(I180*TEChuilelourde,2)</f>
        <v>0.6</v>
      </c>
      <c r="L180" s="164"/>
      <c r="M180" s="177" t="s">
        <v>735</v>
      </c>
      <c r="N180" s="178"/>
      <c r="O180" s="179" t="str">
        <f>P</f>
        <v>. . .</v>
      </c>
      <c r="P180" s="113" t="str">
        <f>P</f>
        <v>. . .</v>
      </c>
      <c r="Q180" s="180">
        <f>TVAFLBTSAUTREMETRO</f>
        <v>3.4770400000000006</v>
      </c>
      <c r="R180" s="181">
        <f>TVAFLBTSAUTRECORSE</f>
        <v>2.3062000000000005</v>
      </c>
      <c r="S180" s="57"/>
      <c r="T180" s="9"/>
      <c r="U180" s="10"/>
      <c r="V180" s="11"/>
      <c r="W180" s="402">
        <v>5929</v>
      </c>
      <c r="X180" s="402"/>
      <c r="Y180" s="170">
        <v>4012</v>
      </c>
      <c r="Z180" s="170">
        <v>9301</v>
      </c>
      <c r="AA180" s="13"/>
      <c r="AB180" s="19"/>
      <c r="AC180" s="20"/>
      <c r="AD180" s="21"/>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34"/>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row>
    <row r="181" spans="1:92" s="1" customFormat="1" ht="12.75">
      <c r="A181" s="70">
        <v>80</v>
      </c>
      <c r="B181" s="89" t="s">
        <v>736</v>
      </c>
      <c r="C181" s="107" t="s">
        <v>737</v>
      </c>
      <c r="D181" s="78" t="s">
        <v>738</v>
      </c>
      <c r="E181" s="125">
        <f>TEChuilelourde</f>
        <v>0</v>
      </c>
      <c r="F181" s="163"/>
      <c r="G181" s="493"/>
      <c r="H181" s="494"/>
      <c r="I181" s="113">
        <f>VFBS</f>
        <v>17.14</v>
      </c>
      <c r="J181" s="78" t="s">
        <v>739</v>
      </c>
      <c r="K181" s="250">
        <f>ROUND(I181*TEChuilelourde,2)</f>
        <v>0.6</v>
      </c>
      <c r="L181" s="164"/>
      <c r="M181" s="177">
        <f>TIFBTS</f>
        <v>1.85</v>
      </c>
      <c r="N181" s="178"/>
      <c r="O181" s="179" t="str">
        <f>P</f>
        <v>. . .</v>
      </c>
      <c r="P181" s="113" t="str">
        <f>"(18)"</f>
        <v>(18)</v>
      </c>
      <c r="Q181" s="180">
        <f>SUM(I181:P181)*19.6%</f>
        <v>3.83964</v>
      </c>
      <c r="R181" s="181">
        <f>SUM(I181:P181)*13%</f>
        <v>2.5467</v>
      </c>
      <c r="S181" s="388"/>
      <c r="T181" s="182">
        <v>5704</v>
      </c>
      <c r="U181" s="183"/>
      <c r="V181" s="184">
        <v>5733</v>
      </c>
      <c r="W181" s="190">
        <v>5948</v>
      </c>
      <c r="X181" s="190"/>
      <c r="Y181" s="170"/>
      <c r="Z181" s="170"/>
      <c r="AA181" s="13"/>
      <c r="AB181" s="19"/>
      <c r="AC181" s="20"/>
      <c r="AD181" s="21"/>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34"/>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row>
    <row r="182" spans="1:92" s="1" customFormat="1" ht="12.75">
      <c r="A182" s="70">
        <v>81</v>
      </c>
      <c r="B182" s="89" t="s">
        <v>740</v>
      </c>
      <c r="C182" s="107" t="s">
        <v>741</v>
      </c>
      <c r="D182" s="78" t="str">
        <f>P</f>
        <v>. . .</v>
      </c>
      <c r="E182" s="125">
        <f>TEChuilelourde</f>
        <v>0</v>
      </c>
      <c r="F182" s="163"/>
      <c r="G182" s="493" t="s">
        <v>742</v>
      </c>
      <c r="H182" s="494" t="s">
        <v>743</v>
      </c>
      <c r="I182" s="113">
        <f>VFBS</f>
        <v>17.14</v>
      </c>
      <c r="J182" s="78" t="s">
        <v>744</v>
      </c>
      <c r="K182" s="250">
        <f>ROUND(I182*TEChuilelourde,2)</f>
        <v>0.6</v>
      </c>
      <c r="L182" s="164"/>
      <c r="M182" s="177" t="s">
        <v>745</v>
      </c>
      <c r="N182" s="178"/>
      <c r="O182" s="179" t="str">
        <f>P</f>
        <v>. . .</v>
      </c>
      <c r="P182" s="113" t="s">
        <v>746</v>
      </c>
      <c r="Q182" s="180">
        <f>SUM(I182:P182)*19.6%</f>
        <v>3.4770400000000006</v>
      </c>
      <c r="R182" s="181">
        <f>SUM(I182:P182)*13%</f>
        <v>2.3062000000000005</v>
      </c>
      <c r="S182" s="388"/>
      <c r="T182" s="9"/>
      <c r="U182" s="10"/>
      <c r="V182" s="11"/>
      <c r="W182" s="190">
        <v>5929</v>
      </c>
      <c r="X182" s="190"/>
      <c r="Y182" s="170"/>
      <c r="Z182" s="170"/>
      <c r="AA182" s="170"/>
      <c r="AB182" s="19"/>
      <c r="AC182" s="20"/>
      <c r="AD182" s="21"/>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34"/>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row>
    <row r="183" spans="1:92" s="1" customFormat="1" ht="12.75">
      <c r="A183" s="70"/>
      <c r="B183" s="89"/>
      <c r="C183" s="107" t="s">
        <v>747</v>
      </c>
      <c r="D183" s="78"/>
      <c r="E183" s="125"/>
      <c r="F183" s="163"/>
      <c r="G183" s="494"/>
      <c r="H183" s="494"/>
      <c r="I183" s="113"/>
      <c r="J183" s="78"/>
      <c r="K183" s="250"/>
      <c r="L183" s="164"/>
      <c r="M183" s="177"/>
      <c r="N183" s="178"/>
      <c r="O183" s="179"/>
      <c r="P183" s="113"/>
      <c r="Q183" s="180"/>
      <c r="R183" s="181"/>
      <c r="S183" s="388"/>
      <c r="T183" s="9"/>
      <c r="U183" s="10"/>
      <c r="V183" s="11"/>
      <c r="W183" s="190"/>
      <c r="X183" s="190"/>
      <c r="Y183" s="170"/>
      <c r="Z183" s="170"/>
      <c r="AA183" s="170"/>
      <c r="AB183" s="19"/>
      <c r="AC183" s="20"/>
      <c r="AD183" s="21"/>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34"/>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row>
    <row r="184" spans="1:92" s="1" customFormat="1" ht="12.75">
      <c r="A184" s="70">
        <v>82</v>
      </c>
      <c r="B184" s="89" t="s">
        <v>748</v>
      </c>
      <c r="C184" s="107" t="s">
        <v>749</v>
      </c>
      <c r="D184" s="78"/>
      <c r="E184" s="125">
        <f>TEChuilelourde</f>
        <v>0</v>
      </c>
      <c r="F184" s="163"/>
      <c r="G184" s="494"/>
      <c r="H184" s="494"/>
      <c r="I184" s="113">
        <f>VFFOD</f>
        <v>29.7</v>
      </c>
      <c r="J184" s="78" t="s">
        <v>750</v>
      </c>
      <c r="K184" s="218">
        <f>ROUND(I184*TEChuilelourde,2)</f>
        <v>1.04</v>
      </c>
      <c r="L184" s="163"/>
      <c r="M184" s="177">
        <f>TIGO</f>
        <v>41.69</v>
      </c>
      <c r="N184" s="178"/>
      <c r="O184" s="179" t="str">
        <f>P</f>
        <v>. . .</v>
      </c>
      <c r="P184" s="113" t="s">
        <v>751</v>
      </c>
      <c r="Q184" s="180">
        <f>TVAGOMETRO</f>
        <v>14.45108</v>
      </c>
      <c r="R184" s="181">
        <f>TVAGOCORSE</f>
        <v>9.5849</v>
      </c>
      <c r="S184" s="388"/>
      <c r="T184" s="541">
        <v>5712</v>
      </c>
      <c r="U184" s="10"/>
      <c r="V184" s="11"/>
      <c r="W184" s="190">
        <v>5938</v>
      </c>
      <c r="X184" s="190"/>
      <c r="Y184" s="170"/>
      <c r="Z184" s="170"/>
      <c r="AA184" s="170"/>
      <c r="AB184" s="19"/>
      <c r="AC184" s="20"/>
      <c r="AD184" s="21"/>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34"/>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row>
    <row r="185" spans="1:92" s="1" customFormat="1" ht="12.75">
      <c r="A185" s="70">
        <v>83</v>
      </c>
      <c r="B185" s="89" t="s">
        <v>752</v>
      </c>
      <c r="C185" s="210" t="s">
        <v>753</v>
      </c>
      <c r="D185" s="78"/>
      <c r="E185" s="125"/>
      <c r="F185" s="163"/>
      <c r="G185" s="494"/>
      <c r="H185" s="494"/>
      <c r="I185" s="113"/>
      <c r="J185" s="78"/>
      <c r="K185" s="250"/>
      <c r="L185" s="164"/>
      <c r="M185" s="177"/>
      <c r="N185" s="178"/>
      <c r="O185" s="179"/>
      <c r="P185" s="113"/>
      <c r="Q185" s="180"/>
      <c r="R185" s="181"/>
      <c r="S185" s="388"/>
      <c r="T185" s="9"/>
      <c r="U185" s="10"/>
      <c r="V185" s="11"/>
      <c r="W185" s="190"/>
      <c r="X185" s="190"/>
      <c r="Y185" s="170"/>
      <c r="Z185" s="170"/>
      <c r="AA185" s="170"/>
      <c r="AB185" s="19"/>
      <c r="AC185" s="20"/>
      <c r="AD185" s="21"/>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34"/>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row>
    <row r="186" spans="1:92" s="1" customFormat="1" ht="12.75">
      <c r="A186" s="70"/>
      <c r="B186" s="89"/>
      <c r="C186" s="210" t="s">
        <v>754</v>
      </c>
      <c r="D186" s="78"/>
      <c r="E186" s="125">
        <f>TEChuilelourde</f>
        <v>0</v>
      </c>
      <c r="F186" s="163"/>
      <c r="G186" s="494"/>
      <c r="H186" s="494"/>
      <c r="I186" s="113">
        <f>VFBS</f>
        <v>17.14</v>
      </c>
      <c r="J186" s="78" t="s">
        <v>755</v>
      </c>
      <c r="K186" s="250">
        <f>ROUND(I186*TEChuilelourde,2)</f>
        <v>0.6</v>
      </c>
      <c r="L186" s="164"/>
      <c r="M186" s="177" t="s">
        <v>756</v>
      </c>
      <c r="N186" s="178"/>
      <c r="O186" s="179" t="str">
        <f>P</f>
        <v>. . .</v>
      </c>
      <c r="P186" s="113" t="str">
        <f>P</f>
        <v>. . .</v>
      </c>
      <c r="Q186" s="180">
        <f>TVAFLBTSAUTREMETRO</f>
        <v>3.4770400000000006</v>
      </c>
      <c r="R186" s="181">
        <f>TVAFLBTSAUTRECORSE</f>
        <v>2.3062000000000005</v>
      </c>
      <c r="S186" s="388"/>
      <c r="T186" s="9"/>
      <c r="U186" s="10"/>
      <c r="V186" s="11"/>
      <c r="W186" s="190">
        <v>5929</v>
      </c>
      <c r="X186" s="190"/>
      <c r="Y186" s="170"/>
      <c r="Z186" s="170"/>
      <c r="AA186" s="170"/>
      <c r="AB186" s="19"/>
      <c r="AC186" s="20"/>
      <c r="AD186" s="21"/>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34"/>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row>
    <row r="187" spans="1:92" s="1" customFormat="1" ht="12.75">
      <c r="A187" s="70">
        <v>84</v>
      </c>
      <c r="B187" s="89" t="s">
        <v>757</v>
      </c>
      <c r="C187" s="107" t="s">
        <v>758</v>
      </c>
      <c r="D187" s="78"/>
      <c r="E187" s="125">
        <f>TEChuilelourde</f>
        <v>0</v>
      </c>
      <c r="F187" s="163"/>
      <c r="G187" s="494"/>
      <c r="H187" s="494"/>
      <c r="I187" s="113">
        <f>VFBS</f>
        <v>17.14</v>
      </c>
      <c r="J187" s="78" t="s">
        <v>759</v>
      </c>
      <c r="K187" s="250">
        <f>ROUND(I187*TEChuilelourde,2)</f>
        <v>0.6</v>
      </c>
      <c r="L187" s="164"/>
      <c r="M187" s="177">
        <f>TIFBTS</f>
        <v>1.85</v>
      </c>
      <c r="N187" s="178"/>
      <c r="O187" s="179" t="str">
        <f>P</f>
        <v>. . .</v>
      </c>
      <c r="P187" s="113" t="str">
        <f>"(18)"</f>
        <v>(18)</v>
      </c>
      <c r="Q187" s="180">
        <f>SUM(I187:P187)*19.6%</f>
        <v>3.83964</v>
      </c>
      <c r="R187" s="181">
        <f>SUM(I187:P187)*13%</f>
        <v>2.5467</v>
      </c>
      <c r="S187" s="388"/>
      <c r="T187" s="541">
        <v>5704</v>
      </c>
      <c r="U187" s="10"/>
      <c r="V187" s="11">
        <v>5733</v>
      </c>
      <c r="W187" s="190">
        <v>5948</v>
      </c>
      <c r="X187" s="190"/>
      <c r="Y187" s="170"/>
      <c r="Z187" s="170"/>
      <c r="AA187" s="170"/>
      <c r="AB187" s="19"/>
      <c r="AC187" s="20"/>
      <c r="AD187" s="21"/>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34"/>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row>
    <row r="188" spans="1:92" s="1" customFormat="1" ht="12.75">
      <c r="A188" s="70">
        <v>85</v>
      </c>
      <c r="B188" s="89" t="s">
        <v>760</v>
      </c>
      <c r="C188" s="107" t="s">
        <v>761</v>
      </c>
      <c r="D188" s="78"/>
      <c r="E188" s="125">
        <f>TEChuilelourde</f>
        <v>0</v>
      </c>
      <c r="F188" s="163"/>
      <c r="G188" s="494"/>
      <c r="H188" s="494"/>
      <c r="I188" s="113">
        <f>VFBS</f>
        <v>17.14</v>
      </c>
      <c r="J188" s="78" t="s">
        <v>762</v>
      </c>
      <c r="K188" s="250">
        <f>ROUND(I188*TEChuilelourde,2)</f>
        <v>0.6</v>
      </c>
      <c r="L188" s="164"/>
      <c r="M188" s="177" t="s">
        <v>763</v>
      </c>
      <c r="N188" s="178"/>
      <c r="O188" s="179" t="str">
        <f>P</f>
        <v>. . .</v>
      </c>
      <c r="P188" s="113" t="s">
        <v>764</v>
      </c>
      <c r="Q188" s="180">
        <f>SUM(I188:P188)*19.6%</f>
        <v>3.4770400000000006</v>
      </c>
      <c r="R188" s="181">
        <f>SUM(I188:P188)*13%</f>
        <v>2.3062000000000005</v>
      </c>
      <c r="S188" s="388"/>
      <c r="T188" s="9"/>
      <c r="U188" s="10"/>
      <c r="V188" s="11"/>
      <c r="W188" s="190">
        <v>5929</v>
      </c>
      <c r="X188" s="190"/>
      <c r="Y188" s="170"/>
      <c r="Z188" s="170"/>
      <c r="AA188" s="170"/>
      <c r="AB188" s="19"/>
      <c r="AC188" s="20"/>
      <c r="AD188" s="21"/>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34"/>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row>
    <row r="189" spans="1:92" s="542" customFormat="1" ht="12.75">
      <c r="A189" s="70"/>
      <c r="B189" s="89"/>
      <c r="C189" s="107"/>
      <c r="D189" s="302"/>
      <c r="E189" s="303"/>
      <c r="F189" s="34"/>
      <c r="G189" s="304"/>
      <c r="H189" s="304"/>
      <c r="I189" s="305"/>
      <c r="J189" s="305"/>
      <c r="K189" s="306"/>
      <c r="L189" s="306"/>
      <c r="M189" s="307"/>
      <c r="N189" s="308"/>
      <c r="O189" s="309"/>
      <c r="P189" s="305"/>
      <c r="Q189" s="310"/>
      <c r="R189" s="311"/>
      <c r="S189" s="388"/>
      <c r="T189" s="182"/>
      <c r="U189" s="183"/>
      <c r="V189" s="184"/>
      <c r="W189" s="185"/>
      <c r="X189" s="185"/>
      <c r="Y189" s="18">
        <v>9301</v>
      </c>
      <c r="Z189" s="18"/>
      <c r="AA189" s="170"/>
      <c r="AB189" s="19"/>
      <c r="AC189" s="20"/>
      <c r="AD189" s="21"/>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34"/>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row>
    <row r="190" spans="1:92" s="1" customFormat="1" ht="12.75">
      <c r="A190" s="70"/>
      <c r="B190" s="89"/>
      <c r="C190" s="107" t="s">
        <v>765</v>
      </c>
      <c r="D190" s="73"/>
      <c r="E190" s="125"/>
      <c r="F190" s="163"/>
      <c r="G190" s="493"/>
      <c r="H190" s="494"/>
      <c r="I190" s="113"/>
      <c r="J190" s="78"/>
      <c r="K190" s="250"/>
      <c r="L190" s="164"/>
      <c r="M190" s="177"/>
      <c r="N190" s="178"/>
      <c r="O190" s="179"/>
      <c r="P190" s="113"/>
      <c r="Q190" s="180"/>
      <c r="R190" s="181"/>
      <c r="S190" s="388"/>
      <c r="T190" s="182"/>
      <c r="U190" s="183"/>
      <c r="V190" s="184"/>
      <c r="W190" s="185"/>
      <c r="X190" s="185"/>
      <c r="Y190" s="170"/>
      <c r="Z190" s="543"/>
      <c r="AA190" s="13"/>
      <c r="AB190" s="19"/>
      <c r="AC190" s="20"/>
      <c r="AD190" s="21"/>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34"/>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row>
    <row r="191" spans="1:92" s="1" customFormat="1" ht="12.75">
      <c r="A191" s="70"/>
      <c r="B191" s="89"/>
      <c r="C191" s="107" t="s">
        <v>766</v>
      </c>
      <c r="D191" s="73"/>
      <c r="E191" s="125"/>
      <c r="F191" s="163"/>
      <c r="G191" s="493"/>
      <c r="H191" s="494"/>
      <c r="I191" s="113"/>
      <c r="J191" s="78"/>
      <c r="K191" s="250"/>
      <c r="L191" s="164"/>
      <c r="M191" s="177"/>
      <c r="N191" s="178"/>
      <c r="O191" s="179"/>
      <c r="P191" s="113"/>
      <c r="Q191" s="180"/>
      <c r="R191" s="181"/>
      <c r="S191" s="388"/>
      <c r="T191" s="182"/>
      <c r="U191" s="183"/>
      <c r="V191" s="184"/>
      <c r="W191" s="185"/>
      <c r="X191" s="185"/>
      <c r="Y191" s="170"/>
      <c r="Z191" s="543"/>
      <c r="AA191" s="13"/>
      <c r="AB191" s="19"/>
      <c r="AC191" s="20"/>
      <c r="AD191" s="21"/>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34"/>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row>
    <row r="192" spans="1:92" s="540" customFormat="1" ht="12.75">
      <c r="A192" s="70">
        <v>86</v>
      </c>
      <c r="B192" s="89" t="s">
        <v>767</v>
      </c>
      <c r="C192" s="107" t="s">
        <v>768</v>
      </c>
      <c r="D192" s="78" t="str">
        <f>P</f>
        <v>. . .</v>
      </c>
      <c r="E192" s="125">
        <f>TEChuilelourde</f>
        <v>0</v>
      </c>
      <c r="F192" s="163"/>
      <c r="G192" s="498" t="s">
        <v>769</v>
      </c>
      <c r="H192" s="89" t="s">
        <v>770</v>
      </c>
      <c r="I192" s="113">
        <f>VFFOD</f>
        <v>29.7</v>
      </c>
      <c r="J192" s="78" t="s">
        <v>771</v>
      </c>
      <c r="K192" s="218">
        <f>ROUND(I192*TEChuilelourde,2)</f>
        <v>1.04</v>
      </c>
      <c r="L192" s="163"/>
      <c r="M192" s="177">
        <f>TIGO</f>
        <v>41.69</v>
      </c>
      <c r="N192" s="178"/>
      <c r="O192" s="179" t="str">
        <f>P</f>
        <v>. . .</v>
      </c>
      <c r="P192" s="113" t="s">
        <v>772</v>
      </c>
      <c r="Q192" s="180">
        <f>TVAGOMETRO</f>
        <v>14.45108</v>
      </c>
      <c r="R192" s="181">
        <f>TVAGOCORSE</f>
        <v>9.5849</v>
      </c>
      <c r="S192" s="544"/>
      <c r="T192" s="58">
        <v>5712</v>
      </c>
      <c r="U192" s="59"/>
      <c r="V192" s="11"/>
      <c r="W192" s="219">
        <v>5938</v>
      </c>
      <c r="X192" s="219"/>
      <c r="Y192" s="170">
        <v>9305</v>
      </c>
      <c r="Z192" s="170">
        <v>9301</v>
      </c>
      <c r="AA192" s="13"/>
      <c r="AB192" s="19"/>
      <c r="AC192" s="20"/>
      <c r="AD192" s="21"/>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34"/>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row>
    <row r="193" spans="1:92" s="1" customFormat="1" ht="12.75">
      <c r="A193" s="397">
        <v>87</v>
      </c>
      <c r="B193" s="89" t="s">
        <v>773</v>
      </c>
      <c r="C193" s="210" t="s">
        <v>774</v>
      </c>
      <c r="D193" s="78"/>
      <c r="E193" s="125"/>
      <c r="F193" s="163"/>
      <c r="G193" s="493"/>
      <c r="H193" s="494"/>
      <c r="I193" s="113"/>
      <c r="J193" s="78"/>
      <c r="K193" s="250"/>
      <c r="L193" s="164"/>
      <c r="M193" s="177"/>
      <c r="N193" s="178"/>
      <c r="O193" s="179"/>
      <c r="P193" s="113"/>
      <c r="Q193" s="180"/>
      <c r="R193" s="181"/>
      <c r="S193" s="57"/>
      <c r="T193" s="9"/>
      <c r="U193" s="10"/>
      <c r="V193" s="11"/>
      <c r="W193" s="190"/>
      <c r="X193" s="190"/>
      <c r="Y193" s="170">
        <v>9301</v>
      </c>
      <c r="Z193" s="170"/>
      <c r="AA193" s="543"/>
      <c r="AB193" s="19"/>
      <c r="AC193" s="20"/>
      <c r="AD193" s="21"/>
      <c r="AE193" s="22"/>
      <c r="AF193" s="22"/>
      <c r="AG193" s="22"/>
      <c r="AH193" s="256"/>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34"/>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row>
    <row r="194" spans="1:92" s="1" customFormat="1" ht="12.75">
      <c r="A194" s="397"/>
      <c r="B194" s="89"/>
      <c r="C194" s="210" t="s">
        <v>775</v>
      </c>
      <c r="D194" s="78" t="str">
        <f>P</f>
        <v>. . .</v>
      </c>
      <c r="E194" s="125">
        <f>TEChuilelourde</f>
        <v>0</v>
      </c>
      <c r="F194" s="163"/>
      <c r="G194" s="493" t="s">
        <v>776</v>
      </c>
      <c r="H194" s="494" t="s">
        <v>777</v>
      </c>
      <c r="I194" s="113">
        <f>VFBS</f>
        <v>17.14</v>
      </c>
      <c r="J194" s="78" t="s">
        <v>778</v>
      </c>
      <c r="K194" s="250">
        <f>ROUND(I194*TEChuilelourde,2)</f>
        <v>0.6</v>
      </c>
      <c r="L194" s="164"/>
      <c r="M194" s="177" t="s">
        <v>779</v>
      </c>
      <c r="N194" s="178"/>
      <c r="O194" s="179" t="str">
        <f>P</f>
        <v>. . .</v>
      </c>
      <c r="P194" s="113" t="str">
        <f>P</f>
        <v>. . .</v>
      </c>
      <c r="Q194" s="180">
        <f>TVAFLBTSAUTREMETRO</f>
        <v>3.4770400000000006</v>
      </c>
      <c r="R194" s="181">
        <f>TVAFLBTSAUTRECORSE</f>
        <v>2.3062000000000005</v>
      </c>
      <c r="S194" s="57"/>
      <c r="T194" s="9"/>
      <c r="U194" s="10"/>
      <c r="V194" s="11"/>
      <c r="W194" s="190">
        <v>5929</v>
      </c>
      <c r="X194" s="190"/>
      <c r="Y194" s="170">
        <v>4012</v>
      </c>
      <c r="Z194" s="170">
        <v>9301</v>
      </c>
      <c r="AA194" s="543"/>
      <c r="AB194" s="19"/>
      <c r="AC194" s="20"/>
      <c r="AD194" s="531"/>
      <c r="AE194" s="448"/>
      <c r="AF194" s="448"/>
      <c r="AG194" s="448"/>
      <c r="AH194" s="448"/>
      <c r="AI194" s="448"/>
      <c r="AJ194" s="448"/>
      <c r="AK194" s="448"/>
      <c r="AL194" s="448"/>
      <c r="AM194" s="448"/>
      <c r="AN194" s="448"/>
      <c r="AO194" s="448"/>
      <c r="AP194" s="448"/>
      <c r="AQ194" s="448"/>
      <c r="AR194" s="448"/>
      <c r="AS194" s="448"/>
      <c r="AT194" s="448"/>
      <c r="AU194" s="448"/>
      <c r="AV194" s="448"/>
      <c r="AW194" s="448"/>
      <c r="AX194" s="448"/>
      <c r="AY194" s="448"/>
      <c r="AZ194" s="448"/>
      <c r="BA194" s="448"/>
      <c r="BB194" s="448"/>
      <c r="BC194" s="448"/>
      <c r="BD194" s="448"/>
      <c r="BE194" s="448"/>
      <c r="BF194" s="448"/>
      <c r="BG194" s="44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row>
    <row r="195" spans="1:92" s="1" customFormat="1" ht="12.75">
      <c r="A195" s="70">
        <v>88</v>
      </c>
      <c r="B195" s="89" t="s">
        <v>780</v>
      </c>
      <c r="C195" s="107" t="s">
        <v>781</v>
      </c>
      <c r="D195" s="78" t="s">
        <v>782</v>
      </c>
      <c r="E195" s="125">
        <f>TEChuilelourde</f>
        <v>0</v>
      </c>
      <c r="F195" s="163"/>
      <c r="G195" s="493"/>
      <c r="H195" s="494"/>
      <c r="I195" s="113">
        <f>VFBS</f>
        <v>17.14</v>
      </c>
      <c r="J195" s="78" t="s">
        <v>783</v>
      </c>
      <c r="K195" s="250">
        <f>ROUND(I195*TEChuilelourde,2)</f>
        <v>0.6</v>
      </c>
      <c r="L195" s="164"/>
      <c r="M195" s="177">
        <f>TIFBTS</f>
        <v>1.85</v>
      </c>
      <c r="N195" s="178"/>
      <c r="O195" s="179" t="str">
        <f>P</f>
        <v>. . .</v>
      </c>
      <c r="P195" s="113" t="str">
        <f>"(18)"</f>
        <v>(18)</v>
      </c>
      <c r="Q195" s="180">
        <f>TVAFLBTSMETRO</f>
        <v>3.83964</v>
      </c>
      <c r="R195" s="221">
        <f>TVAFLBTSCORSE</f>
        <v>2.5467</v>
      </c>
      <c r="S195" s="189"/>
      <c r="T195" s="182">
        <v>5704</v>
      </c>
      <c r="U195" s="183"/>
      <c r="V195" s="184">
        <v>5733</v>
      </c>
      <c r="W195" s="190">
        <v>5948</v>
      </c>
      <c r="X195" s="190"/>
      <c r="Y195" s="170"/>
      <c r="Z195" s="170"/>
      <c r="AA195" s="543"/>
      <c r="AB195" s="19"/>
      <c r="AC195" s="20"/>
      <c r="AD195" s="531"/>
      <c r="AE195" s="448"/>
      <c r="AF195" s="448"/>
      <c r="AG195" s="448"/>
      <c r="AH195" s="448"/>
      <c r="AI195" s="448"/>
      <c r="AJ195" s="448"/>
      <c r="AK195" s="448"/>
      <c r="AL195" s="448"/>
      <c r="AM195" s="448"/>
      <c r="AN195" s="448"/>
      <c r="AO195" s="448"/>
      <c r="AP195" s="448"/>
      <c r="AQ195" s="448"/>
      <c r="AR195" s="448"/>
      <c r="AS195" s="448"/>
      <c r="AT195" s="448"/>
      <c r="AU195" s="448"/>
      <c r="AV195" s="448"/>
      <c r="AW195" s="448"/>
      <c r="AX195" s="448"/>
      <c r="AY195" s="448"/>
      <c r="AZ195" s="448"/>
      <c r="BA195" s="448"/>
      <c r="BB195" s="448"/>
      <c r="BC195" s="448"/>
      <c r="BD195" s="448"/>
      <c r="BE195" s="448"/>
      <c r="BF195" s="448"/>
      <c r="BG195" s="44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row>
    <row r="196" spans="1:92" s="1" customFormat="1" ht="12.75">
      <c r="A196" s="70">
        <v>89</v>
      </c>
      <c r="B196" s="89" t="s">
        <v>784</v>
      </c>
      <c r="C196" s="107" t="s">
        <v>785</v>
      </c>
      <c r="D196" s="78" t="str">
        <f>P</f>
        <v>. . .</v>
      </c>
      <c r="E196" s="125">
        <f>TEChuilelourde</f>
        <v>0</v>
      </c>
      <c r="F196" s="163"/>
      <c r="G196" s="493" t="s">
        <v>786</v>
      </c>
      <c r="H196" s="494" t="s">
        <v>787</v>
      </c>
      <c r="I196" s="113">
        <f>VFBS</f>
        <v>17.14</v>
      </c>
      <c r="J196" s="78" t="s">
        <v>788</v>
      </c>
      <c r="K196" s="250">
        <f>ROUND(I196*TEChuilelourde,2)</f>
        <v>0.6</v>
      </c>
      <c r="L196" s="164"/>
      <c r="M196" s="177" t="s">
        <v>789</v>
      </c>
      <c r="N196" s="178"/>
      <c r="O196" s="179" t="str">
        <f>P</f>
        <v>. . .</v>
      </c>
      <c r="P196" s="113" t="s">
        <v>790</v>
      </c>
      <c r="Q196" s="180">
        <f>TVAFLBTSAUTREMETRO</f>
        <v>3.4770400000000006</v>
      </c>
      <c r="R196" s="181">
        <f>TVAFLBTSAUTRECORSE</f>
        <v>2.3062000000000005</v>
      </c>
      <c r="S196" s="545"/>
      <c r="T196" s="9"/>
      <c r="U196" s="10"/>
      <c r="V196" s="11"/>
      <c r="W196" s="190">
        <v>5929</v>
      </c>
      <c r="X196" s="190"/>
      <c r="Y196" s="170"/>
      <c r="Z196" s="170"/>
      <c r="AA196" s="170"/>
      <c r="AB196" s="19"/>
      <c r="AC196" s="20"/>
      <c r="AD196" s="531"/>
      <c r="AE196" s="448"/>
      <c r="AF196" s="448"/>
      <c r="AG196" s="448"/>
      <c r="AH196" s="448"/>
      <c r="AI196" s="448"/>
      <c r="AJ196" s="448"/>
      <c r="AK196" s="448"/>
      <c r="AL196" s="448"/>
      <c r="AM196" s="448"/>
      <c r="AN196" s="448"/>
      <c r="AO196" s="448"/>
      <c r="AP196" s="448"/>
      <c r="AQ196" s="448"/>
      <c r="AR196" s="448"/>
      <c r="AS196" s="448"/>
      <c r="AT196" s="448"/>
      <c r="AU196" s="448"/>
      <c r="AV196" s="448"/>
      <c r="AW196" s="448"/>
      <c r="AX196" s="448"/>
      <c r="AY196" s="448"/>
      <c r="AZ196" s="448"/>
      <c r="BA196" s="448"/>
      <c r="BB196" s="448"/>
      <c r="BC196" s="448"/>
      <c r="BD196" s="448"/>
      <c r="BE196" s="448"/>
      <c r="BF196" s="448"/>
      <c r="BG196" s="44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row>
    <row r="197" spans="1:92" s="1" customFormat="1" ht="12.75">
      <c r="A197" s="70"/>
      <c r="B197" s="89"/>
      <c r="C197" s="107" t="s">
        <v>791</v>
      </c>
      <c r="D197" s="78"/>
      <c r="E197" s="125"/>
      <c r="F197" s="163"/>
      <c r="G197" s="494"/>
      <c r="H197" s="494"/>
      <c r="I197" s="113"/>
      <c r="J197" s="78"/>
      <c r="K197" s="250"/>
      <c r="L197" s="164"/>
      <c r="M197" s="177"/>
      <c r="N197" s="178"/>
      <c r="O197" s="179"/>
      <c r="P197" s="113"/>
      <c r="Q197" s="180"/>
      <c r="R197" s="181"/>
      <c r="S197" s="545"/>
      <c r="T197" s="9"/>
      <c r="U197" s="10"/>
      <c r="V197" s="11"/>
      <c r="W197" s="190"/>
      <c r="X197" s="190"/>
      <c r="Y197" s="170"/>
      <c r="Z197" s="170"/>
      <c r="AA197" s="170"/>
      <c r="AB197" s="19"/>
      <c r="AC197" s="20"/>
      <c r="AD197" s="531"/>
      <c r="AE197" s="448"/>
      <c r="AF197" s="448"/>
      <c r="AG197" s="448"/>
      <c r="AH197" s="448"/>
      <c r="AI197" s="448"/>
      <c r="AJ197" s="448"/>
      <c r="AK197" s="448"/>
      <c r="AL197" s="448"/>
      <c r="AM197" s="448"/>
      <c r="AN197" s="448"/>
      <c r="AO197" s="448"/>
      <c r="AP197" s="448"/>
      <c r="AQ197" s="448"/>
      <c r="AR197" s="448"/>
      <c r="AS197" s="448"/>
      <c r="AT197" s="448"/>
      <c r="AU197" s="448"/>
      <c r="AV197" s="448"/>
      <c r="AW197" s="448"/>
      <c r="AX197" s="448"/>
      <c r="AY197" s="448"/>
      <c r="AZ197" s="448"/>
      <c r="BA197" s="448"/>
      <c r="BB197" s="448"/>
      <c r="BC197" s="448"/>
      <c r="BD197" s="448"/>
      <c r="BE197" s="448"/>
      <c r="BF197" s="448"/>
      <c r="BG197" s="44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row>
    <row r="198" spans="1:92" s="1" customFormat="1" ht="12.75">
      <c r="A198" s="70">
        <v>90</v>
      </c>
      <c r="B198" s="89" t="s">
        <v>792</v>
      </c>
      <c r="C198" s="107" t="s">
        <v>793</v>
      </c>
      <c r="D198" s="78" t="str">
        <f>P</f>
        <v>. . .</v>
      </c>
      <c r="E198" s="125">
        <f>TEChuilelourde</f>
        <v>0</v>
      </c>
      <c r="F198" s="163"/>
      <c r="G198" s="498" t="s">
        <v>794</v>
      </c>
      <c r="H198" s="89" t="s">
        <v>795</v>
      </c>
      <c r="I198" s="113">
        <f>VFFOD</f>
        <v>29.7</v>
      </c>
      <c r="J198" s="78" t="s">
        <v>796</v>
      </c>
      <c r="K198" s="218">
        <f>ROUND(I198*TEChuilelourde,2)</f>
        <v>1.04</v>
      </c>
      <c r="L198" s="163"/>
      <c r="M198" s="177">
        <f>TIGO</f>
        <v>41.69</v>
      </c>
      <c r="N198" s="178"/>
      <c r="O198" s="179" t="str">
        <f>P</f>
        <v>. . .</v>
      </c>
      <c r="P198" s="113" t="s">
        <v>797</v>
      </c>
      <c r="Q198" s="180">
        <f>TVAGOMETRO</f>
        <v>14.45108</v>
      </c>
      <c r="R198" s="181">
        <f>TVAGOCORSE</f>
        <v>9.5849</v>
      </c>
      <c r="S198" s="545"/>
      <c r="T198" s="541">
        <v>5712</v>
      </c>
      <c r="U198" s="10"/>
      <c r="V198" s="11"/>
      <c r="W198" s="190">
        <v>5938</v>
      </c>
      <c r="X198" s="190"/>
      <c r="Y198" s="170"/>
      <c r="Z198" s="170"/>
      <c r="AA198" s="170"/>
      <c r="AB198" s="19"/>
      <c r="AC198" s="20"/>
      <c r="AD198" s="531"/>
      <c r="AE198" s="448"/>
      <c r="AF198" s="448"/>
      <c r="AG198" s="448"/>
      <c r="AH198" s="448"/>
      <c r="AI198" s="448"/>
      <c r="AJ198" s="448"/>
      <c r="AK198" s="448"/>
      <c r="AL198" s="448"/>
      <c r="AM198" s="448"/>
      <c r="AN198" s="448"/>
      <c r="AO198" s="448"/>
      <c r="AP198" s="448"/>
      <c r="AQ198" s="448"/>
      <c r="AR198" s="448"/>
      <c r="AS198" s="448"/>
      <c r="AT198" s="448"/>
      <c r="AU198" s="448"/>
      <c r="AV198" s="448"/>
      <c r="AW198" s="448"/>
      <c r="AX198" s="448"/>
      <c r="AY198" s="448"/>
      <c r="AZ198" s="448"/>
      <c r="BA198" s="448"/>
      <c r="BB198" s="448"/>
      <c r="BC198" s="448"/>
      <c r="BD198" s="448"/>
      <c r="BE198" s="448"/>
      <c r="BF198" s="448"/>
      <c r="BG198" s="44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row>
    <row r="199" spans="1:92" s="1" customFormat="1" ht="12.75">
      <c r="A199" s="70">
        <v>91</v>
      </c>
      <c r="B199" s="89" t="s">
        <v>798</v>
      </c>
      <c r="C199" s="210" t="s">
        <v>799</v>
      </c>
      <c r="D199" s="78"/>
      <c r="E199" s="125"/>
      <c r="F199" s="163"/>
      <c r="G199" s="493"/>
      <c r="H199" s="494"/>
      <c r="I199" s="113"/>
      <c r="J199" s="78"/>
      <c r="K199" s="250"/>
      <c r="L199" s="164"/>
      <c r="M199" s="177"/>
      <c r="N199" s="178"/>
      <c r="O199" s="179"/>
      <c r="P199" s="113"/>
      <c r="Q199" s="180"/>
      <c r="R199" s="181"/>
      <c r="S199" s="545"/>
      <c r="T199" s="9"/>
      <c r="U199" s="10"/>
      <c r="V199" s="11"/>
      <c r="W199" s="190">
        <v>5929</v>
      </c>
      <c r="X199" s="190"/>
      <c r="Y199" s="170"/>
      <c r="Z199" s="170"/>
      <c r="AA199" s="170"/>
      <c r="AB199" s="19"/>
      <c r="AC199" s="20"/>
      <c r="AD199" s="531"/>
      <c r="AE199" s="448"/>
      <c r="AF199" s="448"/>
      <c r="AG199" s="448"/>
      <c r="AH199" s="448"/>
      <c r="AI199" s="448"/>
      <c r="AJ199" s="448"/>
      <c r="AK199" s="448"/>
      <c r="AL199" s="448"/>
      <c r="AM199" s="448"/>
      <c r="AN199" s="448"/>
      <c r="AO199" s="448"/>
      <c r="AP199" s="448"/>
      <c r="AQ199" s="448"/>
      <c r="AR199" s="448"/>
      <c r="AS199" s="448"/>
      <c r="AT199" s="448"/>
      <c r="AU199" s="448"/>
      <c r="AV199" s="448"/>
      <c r="AW199" s="448"/>
      <c r="AX199" s="448"/>
      <c r="AY199" s="448"/>
      <c r="AZ199" s="448"/>
      <c r="BA199" s="448"/>
      <c r="BB199" s="448"/>
      <c r="BC199" s="448"/>
      <c r="BD199" s="448"/>
      <c r="BE199" s="448"/>
      <c r="BF199" s="448"/>
      <c r="BG199" s="44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row>
    <row r="200" spans="1:92" s="1" customFormat="1" ht="12.75">
      <c r="A200" s="70"/>
      <c r="B200" s="89"/>
      <c r="C200" s="210" t="s">
        <v>800</v>
      </c>
      <c r="D200" s="78" t="str">
        <f>P</f>
        <v>. . .</v>
      </c>
      <c r="E200" s="125">
        <f>TEChuilelourde</f>
        <v>0</v>
      </c>
      <c r="F200" s="163"/>
      <c r="G200" s="493" t="s">
        <v>801</v>
      </c>
      <c r="H200" s="494" t="s">
        <v>802</v>
      </c>
      <c r="I200" s="113">
        <f>VFBS</f>
        <v>17.14</v>
      </c>
      <c r="J200" s="78" t="s">
        <v>803</v>
      </c>
      <c r="K200" s="250">
        <f>ROUND(I200*TEChuilelourde,2)</f>
        <v>0.6</v>
      </c>
      <c r="L200" s="164"/>
      <c r="M200" s="177" t="s">
        <v>804</v>
      </c>
      <c r="N200" s="178"/>
      <c r="O200" s="179" t="str">
        <f>P</f>
        <v>. . .</v>
      </c>
      <c r="P200" s="113" t="str">
        <f>P</f>
        <v>. . .</v>
      </c>
      <c r="Q200" s="180">
        <f>TVAFLBTSAUTREMETRO</f>
        <v>3.4770400000000006</v>
      </c>
      <c r="R200" s="181">
        <f>TVAFLBTSAUTRECORSE</f>
        <v>2.3062000000000005</v>
      </c>
      <c r="S200" s="545"/>
      <c r="T200" s="541">
        <v>5704</v>
      </c>
      <c r="U200" s="10"/>
      <c r="V200" s="11">
        <v>5733</v>
      </c>
      <c r="W200" s="190">
        <v>5948</v>
      </c>
      <c r="X200" s="190"/>
      <c r="Y200" s="170"/>
      <c r="Z200" s="170"/>
      <c r="AA200" s="170"/>
      <c r="AB200" s="19"/>
      <c r="AC200" s="20"/>
      <c r="AD200" s="531"/>
      <c r="AE200" s="448"/>
      <c r="AF200" s="448"/>
      <c r="AG200" s="448"/>
      <c r="AH200" s="448"/>
      <c r="AI200" s="448"/>
      <c r="AJ200" s="448"/>
      <c r="AK200" s="448"/>
      <c r="AL200" s="448"/>
      <c r="AM200" s="448"/>
      <c r="AN200" s="448"/>
      <c r="AO200" s="448"/>
      <c r="AP200" s="448"/>
      <c r="AQ200" s="448"/>
      <c r="AR200" s="448"/>
      <c r="AS200" s="448"/>
      <c r="AT200" s="448"/>
      <c r="AU200" s="448"/>
      <c r="AV200" s="448"/>
      <c r="AW200" s="448"/>
      <c r="AX200" s="448"/>
      <c r="AY200" s="448"/>
      <c r="AZ200" s="448"/>
      <c r="BA200" s="448"/>
      <c r="BB200" s="448"/>
      <c r="BC200" s="448"/>
      <c r="BD200" s="448"/>
      <c r="BE200" s="448"/>
      <c r="BF200" s="448"/>
      <c r="BG200" s="44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row>
    <row r="201" spans="1:92" s="1" customFormat="1" ht="12.75">
      <c r="A201" s="70">
        <v>92</v>
      </c>
      <c r="B201" s="89" t="s">
        <v>805</v>
      </c>
      <c r="C201" s="107" t="s">
        <v>806</v>
      </c>
      <c r="D201" s="78" t="s">
        <v>807</v>
      </c>
      <c r="E201" s="125">
        <f>TEChuilelourde</f>
        <v>0</v>
      </c>
      <c r="F201" s="163"/>
      <c r="G201" s="493"/>
      <c r="H201" s="494"/>
      <c r="I201" s="113">
        <f>VFBS</f>
        <v>17.14</v>
      </c>
      <c r="J201" s="78" t="s">
        <v>808</v>
      </c>
      <c r="K201" s="250">
        <f>ROUND(I201*TEChuilelourde,2)</f>
        <v>0.6</v>
      </c>
      <c r="L201" s="164"/>
      <c r="M201" s="177">
        <f>TIFBTS</f>
        <v>1.85</v>
      </c>
      <c r="N201" s="178"/>
      <c r="O201" s="179" t="str">
        <f>P</f>
        <v>. . .</v>
      </c>
      <c r="P201" s="113" t="str">
        <f>"(18)"</f>
        <v>(18)</v>
      </c>
      <c r="Q201" s="180">
        <f>TVAFLBTSMETRO</f>
        <v>3.83964</v>
      </c>
      <c r="R201" s="221">
        <f>TVAFLBTSCORSE</f>
        <v>2.5467</v>
      </c>
      <c r="S201" s="545"/>
      <c r="T201" s="9"/>
      <c r="U201" s="10"/>
      <c r="V201" s="11"/>
      <c r="W201" s="190"/>
      <c r="X201" s="190"/>
      <c r="Y201" s="170"/>
      <c r="Z201" s="170"/>
      <c r="AA201" s="170"/>
      <c r="AB201" s="19"/>
      <c r="AC201" s="20"/>
      <c r="AD201" s="531"/>
      <c r="AE201" s="448"/>
      <c r="AF201" s="448"/>
      <c r="AG201" s="448"/>
      <c r="AH201" s="448"/>
      <c r="AI201" s="448"/>
      <c r="AJ201" s="448"/>
      <c r="AK201" s="448"/>
      <c r="AL201" s="448"/>
      <c r="AM201" s="448"/>
      <c r="AN201" s="448"/>
      <c r="AO201" s="448"/>
      <c r="AP201" s="448"/>
      <c r="AQ201" s="448"/>
      <c r="AR201" s="448"/>
      <c r="AS201" s="448"/>
      <c r="AT201" s="448"/>
      <c r="AU201" s="448"/>
      <c r="AV201" s="448"/>
      <c r="AW201" s="448"/>
      <c r="AX201" s="448"/>
      <c r="AY201" s="448"/>
      <c r="AZ201" s="448"/>
      <c r="BA201" s="448"/>
      <c r="BB201" s="448"/>
      <c r="BC201" s="448"/>
      <c r="BD201" s="448"/>
      <c r="BE201" s="448"/>
      <c r="BF201" s="448"/>
      <c r="BG201" s="44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row>
    <row r="202" spans="1:92" s="564" customFormat="1" ht="12.75">
      <c r="A202" s="222">
        <v>93</v>
      </c>
      <c r="B202" s="546" t="s">
        <v>809</v>
      </c>
      <c r="C202" s="533" t="s">
        <v>810</v>
      </c>
      <c r="D202" s="230" t="str">
        <f>P</f>
        <v>. . .</v>
      </c>
      <c r="E202" s="226">
        <f>TEChuilelourde</f>
        <v>0</v>
      </c>
      <c r="F202" s="227"/>
      <c r="G202" s="534" t="s">
        <v>811</v>
      </c>
      <c r="H202" s="500" t="s">
        <v>812</v>
      </c>
      <c r="I202" s="235">
        <f>VFBS</f>
        <v>17.14</v>
      </c>
      <c r="J202" s="230" t="s">
        <v>813</v>
      </c>
      <c r="K202" s="453">
        <f>ROUND(I202*TEChuilelourde,2)</f>
        <v>0.6</v>
      </c>
      <c r="L202" s="231"/>
      <c r="M202" s="547" t="s">
        <v>814</v>
      </c>
      <c r="N202" s="548"/>
      <c r="O202" s="549" t="str">
        <f>P</f>
        <v>. . .</v>
      </c>
      <c r="P202" s="235" t="s">
        <v>815</v>
      </c>
      <c r="Q202" s="550">
        <f>TVAFLBTSAUTREMETRO</f>
        <v>3.4770400000000006</v>
      </c>
      <c r="R202" s="551">
        <f>TVAFLBTSAUTRECORSE</f>
        <v>2.3062000000000005</v>
      </c>
      <c r="S202" s="552"/>
      <c r="T202" s="553"/>
      <c r="U202" s="554"/>
      <c r="V202" s="555"/>
      <c r="W202" s="556">
        <v>5929</v>
      </c>
      <c r="X202" s="556"/>
      <c r="Y202" s="557"/>
      <c r="Z202" s="557"/>
      <c r="AA202" s="557"/>
      <c r="AB202" s="558"/>
      <c r="AC202" s="559"/>
      <c r="AD202" s="560"/>
      <c r="AE202" s="561"/>
      <c r="AF202" s="561"/>
      <c r="AG202" s="561"/>
      <c r="AH202" s="561"/>
      <c r="AI202" s="561"/>
      <c r="AJ202" s="561"/>
      <c r="AK202" s="561"/>
      <c r="AL202" s="561"/>
      <c r="AM202" s="561"/>
      <c r="AN202" s="561"/>
      <c r="AO202" s="561"/>
      <c r="AP202" s="561"/>
      <c r="AQ202" s="561"/>
      <c r="AR202" s="561"/>
      <c r="AS202" s="561"/>
      <c r="AT202" s="561"/>
      <c r="AU202" s="561"/>
      <c r="AV202" s="561"/>
      <c r="AW202" s="561"/>
      <c r="AX202" s="561"/>
      <c r="AY202" s="561"/>
      <c r="AZ202" s="561"/>
      <c r="BA202" s="561"/>
      <c r="BB202" s="561"/>
      <c r="BC202" s="561"/>
      <c r="BD202" s="561"/>
      <c r="BE202" s="561"/>
      <c r="BF202" s="561"/>
      <c r="BG202" s="562"/>
      <c r="BH202" s="563"/>
      <c r="BI202" s="563"/>
      <c r="BJ202" s="563"/>
      <c r="BK202" s="563"/>
      <c r="BL202" s="563"/>
      <c r="BM202" s="563"/>
      <c r="BN202" s="563"/>
      <c r="BO202" s="563"/>
      <c r="BP202" s="563"/>
      <c r="BQ202" s="563"/>
      <c r="BR202" s="563"/>
      <c r="BS202" s="563"/>
      <c r="BT202" s="563"/>
      <c r="BU202" s="563"/>
      <c r="BV202" s="563"/>
      <c r="BW202" s="563"/>
      <c r="BX202" s="563"/>
      <c r="BY202" s="563"/>
      <c r="BZ202" s="563"/>
      <c r="CA202" s="563"/>
      <c r="CB202" s="563"/>
      <c r="CC202" s="563"/>
      <c r="CD202" s="563"/>
      <c r="CE202" s="563"/>
      <c r="CF202" s="563"/>
      <c r="CG202" s="563"/>
      <c r="CH202" s="563"/>
      <c r="CI202" s="563"/>
      <c r="CJ202" s="563"/>
      <c r="CK202" s="563"/>
      <c r="CL202" s="563"/>
      <c r="CM202" s="563"/>
      <c r="CN202" s="563"/>
    </row>
    <row r="203" spans="1:92" s="542" customFormat="1" ht="12.75">
      <c r="A203" s="70"/>
      <c r="B203" s="89"/>
      <c r="C203" s="107"/>
      <c r="D203" s="565"/>
      <c r="E203" s="566"/>
      <c r="F203" s="567"/>
      <c r="I203" s="568"/>
      <c r="J203" s="568"/>
      <c r="M203" s="569"/>
      <c r="N203" s="570"/>
      <c r="O203" s="571"/>
      <c r="P203" s="571"/>
      <c r="Q203" s="571"/>
      <c r="R203" s="572"/>
      <c r="S203" s="545"/>
      <c r="T203" s="9"/>
      <c r="U203" s="10"/>
      <c r="V203" s="11"/>
      <c r="W203" s="190"/>
      <c r="X203" s="190"/>
      <c r="Y203" s="13">
        <v>9301</v>
      </c>
      <c r="Z203" s="13"/>
      <c r="AA203" s="170"/>
      <c r="AB203" s="19"/>
      <c r="AC203" s="20"/>
      <c r="AD203" s="21"/>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34"/>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row>
    <row r="204" spans="1:92" s="1" customFormat="1" ht="12" customHeight="1">
      <c r="A204" s="70"/>
      <c r="B204" s="89"/>
      <c r="C204" s="107" t="s">
        <v>816</v>
      </c>
      <c r="D204" s="73"/>
      <c r="E204" s="573"/>
      <c r="F204" s="163"/>
      <c r="G204" s="494"/>
      <c r="H204" s="494"/>
      <c r="I204" s="113"/>
      <c r="J204" s="78"/>
      <c r="K204" s="250"/>
      <c r="L204" s="164"/>
      <c r="M204" s="177"/>
      <c r="N204" s="574"/>
      <c r="O204" s="575"/>
      <c r="P204" s="251"/>
      <c r="Q204" s="576"/>
      <c r="R204" s="181"/>
      <c r="S204" s="577"/>
      <c r="T204" s="182"/>
      <c r="U204" s="183"/>
      <c r="V204" s="184"/>
      <c r="W204" s="185"/>
      <c r="X204" s="185"/>
      <c r="Y204" s="170">
        <v>9301</v>
      </c>
      <c r="Z204" s="170"/>
      <c r="AA204" s="543"/>
      <c r="AB204" s="19"/>
      <c r="AC204" s="20"/>
      <c r="AD204" s="21"/>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34"/>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row>
    <row r="205" spans="1:92" s="1" customFormat="1" ht="12.75">
      <c r="A205" s="578">
        <v>94</v>
      </c>
      <c r="B205" s="89" t="s">
        <v>817</v>
      </c>
      <c r="C205" s="107" t="s">
        <v>818</v>
      </c>
      <c r="D205" s="78" t="str">
        <f>P</f>
        <v>. . .</v>
      </c>
      <c r="E205" s="125">
        <f>TEChuilelourde</f>
        <v>0</v>
      </c>
      <c r="F205" s="163"/>
      <c r="G205" s="498" t="s">
        <v>819</v>
      </c>
      <c r="H205" s="89" t="s">
        <v>820</v>
      </c>
      <c r="I205" s="113">
        <f>VFFOD</f>
        <v>29.7</v>
      </c>
      <c r="J205" s="78" t="s">
        <v>821</v>
      </c>
      <c r="K205" s="218">
        <f>ROUND(I205*TEChuilelourde,2)</f>
        <v>1.04</v>
      </c>
      <c r="L205" s="163"/>
      <c r="M205" s="177">
        <f>TIGO</f>
        <v>41.69</v>
      </c>
      <c r="N205" s="178"/>
      <c r="O205" s="179" t="str">
        <f>P</f>
        <v>. . .</v>
      </c>
      <c r="P205" s="113" t="s">
        <v>822</v>
      </c>
      <c r="Q205" s="180">
        <f>TVAGOMETRO</f>
        <v>14.45108</v>
      </c>
      <c r="R205" s="181">
        <f>TVAGOCORSE</f>
        <v>9.5849</v>
      </c>
      <c r="S205" s="544"/>
      <c r="T205" s="404">
        <v>5712</v>
      </c>
      <c r="U205" s="405"/>
      <c r="V205" s="11"/>
      <c r="W205" s="402">
        <v>5938</v>
      </c>
      <c r="X205" s="402"/>
      <c r="Y205" s="170">
        <v>4012</v>
      </c>
      <c r="Z205" s="170">
        <v>9301</v>
      </c>
      <c r="AA205" s="543"/>
      <c r="AB205" s="19"/>
      <c r="AC205" s="20"/>
      <c r="AD205" s="21"/>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34"/>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row>
    <row r="206" spans="1:92" s="1" customFormat="1" ht="12.75">
      <c r="A206" s="578">
        <v>95</v>
      </c>
      <c r="B206" s="89" t="s">
        <v>823</v>
      </c>
      <c r="C206" s="107" t="s">
        <v>824</v>
      </c>
      <c r="D206" s="78" t="s">
        <v>825</v>
      </c>
      <c r="E206" s="125">
        <f>TEChuilelourde</f>
        <v>0</v>
      </c>
      <c r="F206" s="163"/>
      <c r="G206" s="493"/>
      <c r="H206" s="494"/>
      <c r="I206" s="113">
        <f>VFFHS</f>
        <v>14.19</v>
      </c>
      <c r="J206" s="78" t="s">
        <v>826</v>
      </c>
      <c r="K206" s="250">
        <f>ROUND(I206*TEChuilelourde,2)</f>
        <v>0.5</v>
      </c>
      <c r="L206" s="164"/>
      <c r="M206" s="177">
        <f>TIFBTS</f>
        <v>1.85</v>
      </c>
      <c r="N206" s="178"/>
      <c r="O206" s="179" t="str">
        <f>P</f>
        <v>. . .</v>
      </c>
      <c r="P206" s="113" t="str">
        <f>"(18)"</f>
        <v>(18)</v>
      </c>
      <c r="Q206" s="180">
        <f>SUM(I206:P206)*19.6%</f>
        <v>3.24184</v>
      </c>
      <c r="R206" s="181">
        <f>SUM(I206:P206)*13%</f>
        <v>2.1502</v>
      </c>
      <c r="S206" s="545"/>
      <c r="T206" s="182">
        <v>5704</v>
      </c>
      <c r="U206" s="183"/>
      <c r="V206" s="184">
        <v>5733</v>
      </c>
      <c r="W206" s="190">
        <v>5932</v>
      </c>
      <c r="X206" s="190"/>
      <c r="Y206" s="170"/>
      <c r="Z206" s="170"/>
      <c r="AA206" s="170"/>
      <c r="AB206" s="19"/>
      <c r="AC206" s="20"/>
      <c r="AD206" s="21"/>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34"/>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row>
    <row r="207" spans="1:92" s="1" customFormat="1" ht="12.75">
      <c r="A207" s="579">
        <v>96</v>
      </c>
      <c r="B207" s="89" t="s">
        <v>827</v>
      </c>
      <c r="C207" s="107" t="s">
        <v>828</v>
      </c>
      <c r="D207" s="73" t="str">
        <f>P</f>
        <v>. . .</v>
      </c>
      <c r="E207" s="125">
        <f>TEChuilelourde</f>
        <v>0</v>
      </c>
      <c r="F207" s="163"/>
      <c r="G207" s="493" t="s">
        <v>829</v>
      </c>
      <c r="H207" s="494" t="s">
        <v>830</v>
      </c>
      <c r="I207" s="113">
        <f>VFFHS</f>
        <v>14.19</v>
      </c>
      <c r="J207" s="78" t="s">
        <v>831</v>
      </c>
      <c r="K207" s="250">
        <f>ROUND(I207*TEChuilelourde,2)</f>
        <v>0.5</v>
      </c>
      <c r="L207" s="164"/>
      <c r="M207" s="177" t="s">
        <v>832</v>
      </c>
      <c r="N207" s="178"/>
      <c r="O207" s="179" t="str">
        <f>P</f>
        <v>. . .</v>
      </c>
      <c r="P207" s="113" t="s">
        <v>833</v>
      </c>
      <c r="Q207" s="180">
        <f>SUM(I207:P207)*19.6%</f>
        <v>2.87924</v>
      </c>
      <c r="R207" s="181">
        <f>SUM(I207:P207)*13%</f>
        <v>1.9097</v>
      </c>
      <c r="S207" s="545"/>
      <c r="T207" s="9"/>
      <c r="U207" s="10"/>
      <c r="V207" s="11"/>
      <c r="W207" s="190">
        <v>5949</v>
      </c>
      <c r="X207" s="190"/>
      <c r="Y207" s="170"/>
      <c r="Z207" s="170"/>
      <c r="AA207" s="170"/>
      <c r="AB207" s="19"/>
      <c r="AC207" s="20"/>
      <c r="AD207" s="21"/>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34"/>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row>
    <row r="208" spans="1:92" s="1" customFormat="1" ht="12.75">
      <c r="A208" s="580"/>
      <c r="B208" s="89"/>
      <c r="C208" s="107" t="s">
        <v>834</v>
      </c>
      <c r="D208" s="73"/>
      <c r="E208" s="125"/>
      <c r="F208" s="163"/>
      <c r="G208" s="494"/>
      <c r="H208" s="494"/>
      <c r="I208" s="113"/>
      <c r="J208" s="78"/>
      <c r="K208" s="250"/>
      <c r="L208" s="164"/>
      <c r="M208" s="177"/>
      <c r="N208" s="178"/>
      <c r="O208" s="179"/>
      <c r="P208" s="113"/>
      <c r="Q208" s="180"/>
      <c r="R208" s="181"/>
      <c r="S208" s="189"/>
      <c r="T208" s="182"/>
      <c r="U208" s="183"/>
      <c r="V208" s="184"/>
      <c r="W208" s="185"/>
      <c r="X208" s="185"/>
      <c r="Y208" s="170">
        <v>9301</v>
      </c>
      <c r="Z208" s="170"/>
      <c r="AA208" s="13"/>
      <c r="AB208" s="19"/>
      <c r="AC208" s="20"/>
      <c r="AD208" s="21"/>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34"/>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row>
    <row r="209" spans="1:92" s="588" customFormat="1" ht="12.75">
      <c r="A209" s="578">
        <v>97</v>
      </c>
      <c r="B209" s="89" t="s">
        <v>835</v>
      </c>
      <c r="C209" s="107" t="s">
        <v>836</v>
      </c>
      <c r="D209" s="78" t="str">
        <f>P</f>
        <v>. . .</v>
      </c>
      <c r="E209" s="125">
        <f>TEChuilelourde</f>
        <v>0</v>
      </c>
      <c r="F209" s="163"/>
      <c r="G209" s="498" t="s">
        <v>837</v>
      </c>
      <c r="H209" s="89" t="s">
        <v>838</v>
      </c>
      <c r="I209" s="113">
        <f>VFFOD</f>
        <v>29.7</v>
      </c>
      <c r="J209" s="78" t="s">
        <v>839</v>
      </c>
      <c r="K209" s="218">
        <f>ROUND(I209*TEChuilelourde,2)</f>
        <v>1.04</v>
      </c>
      <c r="L209" s="163"/>
      <c r="M209" s="177">
        <f>TIGO</f>
        <v>41.69</v>
      </c>
      <c r="N209" s="178"/>
      <c r="O209" s="179" t="str">
        <f>P</f>
        <v>. . .</v>
      </c>
      <c r="P209" s="113" t="s">
        <v>840</v>
      </c>
      <c r="Q209" s="180">
        <f>TVAGOMETRO</f>
        <v>14.45108</v>
      </c>
      <c r="R209" s="181">
        <f>TVAGOCORSE</f>
        <v>9.5849</v>
      </c>
      <c r="S209" s="544"/>
      <c r="T209" s="404">
        <v>5712</v>
      </c>
      <c r="U209" s="405"/>
      <c r="V209" s="11"/>
      <c r="W209" s="402">
        <v>5938</v>
      </c>
      <c r="X209" s="402"/>
      <c r="Y209" s="557">
        <v>4012</v>
      </c>
      <c r="Z209" s="557">
        <v>9301</v>
      </c>
      <c r="AA209" s="581"/>
      <c r="AB209" s="582"/>
      <c r="AC209" s="583"/>
      <c r="AD209" s="584"/>
      <c r="AE209" s="585"/>
      <c r="AF209" s="585"/>
      <c r="AG209" s="585"/>
      <c r="AH209" s="585"/>
      <c r="AI209" s="585"/>
      <c r="AJ209" s="585"/>
      <c r="AK209" s="585"/>
      <c r="AL209" s="585"/>
      <c r="AM209" s="585"/>
      <c r="AN209" s="585"/>
      <c r="AO209" s="585"/>
      <c r="AP209" s="585"/>
      <c r="AQ209" s="585"/>
      <c r="AR209" s="585"/>
      <c r="AS209" s="585"/>
      <c r="AT209" s="585"/>
      <c r="AU209" s="585"/>
      <c r="AV209" s="585"/>
      <c r="AW209" s="585"/>
      <c r="AX209" s="585"/>
      <c r="AY209" s="585"/>
      <c r="AZ209" s="585"/>
      <c r="BA209" s="585"/>
      <c r="BB209" s="585"/>
      <c r="BC209" s="585"/>
      <c r="BD209" s="585"/>
      <c r="BE209" s="585"/>
      <c r="BF209" s="585"/>
      <c r="BG209" s="586"/>
      <c r="BH209" s="587"/>
      <c r="BI209" s="587"/>
      <c r="BJ209" s="587"/>
      <c r="BK209" s="587"/>
      <c r="BL209" s="587"/>
      <c r="BM209" s="587"/>
      <c r="BN209" s="587"/>
      <c r="BO209" s="587"/>
      <c r="BP209" s="587"/>
      <c r="BQ209" s="587"/>
      <c r="BR209" s="587"/>
      <c r="BS209" s="587"/>
      <c r="BT209" s="587"/>
      <c r="BU209" s="587"/>
      <c r="BV209" s="587"/>
      <c r="BW209" s="587"/>
      <c r="BX209" s="587"/>
      <c r="BY209" s="587"/>
      <c r="BZ209" s="587"/>
      <c r="CA209" s="587"/>
      <c r="CB209" s="587"/>
      <c r="CC209" s="587"/>
      <c r="CD209" s="587"/>
      <c r="CE209" s="587"/>
      <c r="CF209" s="587"/>
      <c r="CG209" s="587"/>
      <c r="CH209" s="587"/>
      <c r="CI209" s="587"/>
      <c r="CJ209" s="587"/>
      <c r="CK209" s="587"/>
      <c r="CL209" s="587"/>
      <c r="CM209" s="587"/>
      <c r="CN209" s="587"/>
    </row>
    <row r="210" spans="1:92" s="595" customFormat="1" ht="12.75">
      <c r="A210" s="578">
        <v>98</v>
      </c>
      <c r="B210" s="89" t="s">
        <v>841</v>
      </c>
      <c r="C210" s="107" t="s">
        <v>842</v>
      </c>
      <c r="D210" s="73" t="s">
        <v>843</v>
      </c>
      <c r="E210" s="125">
        <f>TEChuilelourde</f>
        <v>0</v>
      </c>
      <c r="F210" s="163"/>
      <c r="G210" s="493"/>
      <c r="H210" s="494"/>
      <c r="I210" s="113">
        <f>VFFHS</f>
        <v>14.19</v>
      </c>
      <c r="J210" s="78" t="s">
        <v>844</v>
      </c>
      <c r="K210" s="250">
        <f>ROUND(I210*TEChuilelourde,2)</f>
        <v>0.5</v>
      </c>
      <c r="L210" s="164"/>
      <c r="M210" s="177">
        <f>TIFBTS</f>
        <v>1.85</v>
      </c>
      <c r="N210" s="178"/>
      <c r="O210" s="179" t="str">
        <f>P</f>
        <v>. . .</v>
      </c>
      <c r="P210" s="113" t="str">
        <f>"(18)"</f>
        <v>(18)</v>
      </c>
      <c r="Q210" s="180">
        <f>TVAFLHTSMETRO</f>
        <v>3.24184</v>
      </c>
      <c r="R210" s="221">
        <f>TVAFLHTSCORSE</f>
        <v>2.1502</v>
      </c>
      <c r="S210" s="388"/>
      <c r="T210" s="182">
        <v>5704</v>
      </c>
      <c r="U210" s="183"/>
      <c r="V210" s="184">
        <v>5733</v>
      </c>
      <c r="W210" s="190">
        <v>5932</v>
      </c>
      <c r="X210" s="190"/>
      <c r="Y210" s="589"/>
      <c r="Z210" s="589"/>
      <c r="AA210" s="589"/>
      <c r="AB210" s="590"/>
      <c r="AC210" s="591"/>
      <c r="AD210" s="592"/>
      <c r="AE210" s="350"/>
      <c r="AF210" s="350"/>
      <c r="AG210" s="350"/>
      <c r="AH210" s="350"/>
      <c r="AI210" s="350"/>
      <c r="AJ210" s="350"/>
      <c r="AK210" s="350"/>
      <c r="AL210" s="350"/>
      <c r="AM210" s="350"/>
      <c r="AN210" s="350"/>
      <c r="AO210" s="350"/>
      <c r="AP210" s="350"/>
      <c r="AQ210" s="350"/>
      <c r="AR210" s="350"/>
      <c r="AS210" s="350"/>
      <c r="AT210" s="350"/>
      <c r="AU210" s="350"/>
      <c r="AV210" s="350"/>
      <c r="AW210" s="350"/>
      <c r="AX210" s="350"/>
      <c r="AY210" s="350"/>
      <c r="AZ210" s="350"/>
      <c r="BA210" s="350"/>
      <c r="BB210" s="350"/>
      <c r="BC210" s="350"/>
      <c r="BD210" s="350"/>
      <c r="BE210" s="350"/>
      <c r="BF210" s="350"/>
      <c r="BG210" s="593"/>
      <c r="BH210" s="594"/>
      <c r="BI210" s="594"/>
      <c r="BJ210" s="594"/>
      <c r="BK210" s="594"/>
      <c r="BL210" s="594"/>
      <c r="BM210" s="594"/>
      <c r="BN210" s="594"/>
      <c r="BO210" s="594"/>
      <c r="BP210" s="594"/>
      <c r="BQ210" s="594"/>
      <c r="BR210" s="594"/>
      <c r="BS210" s="594"/>
      <c r="BT210" s="594"/>
      <c r="BU210" s="594"/>
      <c r="BV210" s="594"/>
      <c r="BW210" s="594"/>
      <c r="BX210" s="594"/>
      <c r="BY210" s="594"/>
      <c r="BZ210" s="594"/>
      <c r="CA210" s="594"/>
      <c r="CB210" s="594"/>
      <c r="CC210" s="594"/>
      <c r="CD210" s="594"/>
      <c r="CE210" s="594"/>
      <c r="CF210" s="594"/>
      <c r="CG210" s="594"/>
      <c r="CH210" s="594"/>
      <c r="CI210" s="594"/>
      <c r="CJ210" s="594"/>
      <c r="CK210" s="594"/>
      <c r="CL210" s="594"/>
      <c r="CM210" s="594"/>
      <c r="CN210" s="594"/>
    </row>
    <row r="211" spans="1:92" s="1" customFormat="1" ht="12.75">
      <c r="A211" s="578">
        <v>99</v>
      </c>
      <c r="B211" s="317" t="s">
        <v>845</v>
      </c>
      <c r="C211" s="107" t="s">
        <v>846</v>
      </c>
      <c r="D211" s="73" t="str">
        <f>P</f>
        <v>. . .</v>
      </c>
      <c r="E211" s="125">
        <f>TEChuilelourde</f>
        <v>0</v>
      </c>
      <c r="F211" s="163"/>
      <c r="G211" s="493" t="s">
        <v>847</v>
      </c>
      <c r="H211" s="494" t="s">
        <v>848</v>
      </c>
      <c r="I211" s="113">
        <f>VFFHS</f>
        <v>14.19</v>
      </c>
      <c r="J211" s="78" t="s">
        <v>849</v>
      </c>
      <c r="K211" s="250">
        <f>ROUND(I211*TEChuilelourde,2)</f>
        <v>0.5</v>
      </c>
      <c r="L211" s="164"/>
      <c r="M211" s="319" t="s">
        <v>850</v>
      </c>
      <c r="N211" s="320"/>
      <c r="O211" s="321" t="str">
        <f>P</f>
        <v>. . .</v>
      </c>
      <c r="P211" s="113" t="s">
        <v>851</v>
      </c>
      <c r="Q211" s="180">
        <f>SUM(I211:P211)*19.6%</f>
        <v>2.87924</v>
      </c>
      <c r="R211" s="181">
        <f>SUM(I211:P211)*13%</f>
        <v>1.9097</v>
      </c>
      <c r="S211" s="388"/>
      <c r="T211" s="596"/>
      <c r="U211" s="597"/>
      <c r="V211" s="598"/>
      <c r="W211" s="190">
        <v>5949</v>
      </c>
      <c r="X211" s="190"/>
      <c r="Y211" s="170"/>
      <c r="Z211" s="170"/>
      <c r="AA211" s="170"/>
      <c r="AB211" s="19"/>
      <c r="AC211" s="20"/>
      <c r="AD211" s="21"/>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34"/>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row>
    <row r="212" spans="1:92" s="1" customFormat="1" ht="12.75">
      <c r="A212" s="578"/>
      <c r="B212" s="89"/>
      <c r="C212" s="107" t="s">
        <v>852</v>
      </c>
      <c r="D212" s="73"/>
      <c r="E212" s="125"/>
      <c r="F212" s="163"/>
      <c r="G212" s="494"/>
      <c r="H212" s="494"/>
      <c r="I212" s="113"/>
      <c r="J212" s="78"/>
      <c r="K212" s="250"/>
      <c r="L212" s="164"/>
      <c r="M212" s="177"/>
      <c r="N212" s="178"/>
      <c r="O212" s="179"/>
      <c r="P212" s="113"/>
      <c r="Q212" s="180"/>
      <c r="R212" s="181"/>
      <c r="S212" s="189"/>
      <c r="T212" s="182"/>
      <c r="U212" s="183"/>
      <c r="V212" s="184"/>
      <c r="W212" s="185"/>
      <c r="X212" s="185"/>
      <c r="Y212" s="170"/>
      <c r="Z212" s="170"/>
      <c r="AA212" s="170"/>
      <c r="AB212" s="19"/>
      <c r="AC212" s="20"/>
      <c r="AD212" s="21"/>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34"/>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row>
    <row r="213" spans="1:92" s="1" customFormat="1" ht="12.75">
      <c r="A213" s="578">
        <v>100</v>
      </c>
      <c r="B213" s="89" t="s">
        <v>853</v>
      </c>
      <c r="C213" s="107" t="s">
        <v>854</v>
      </c>
      <c r="D213" s="73" t="str">
        <f>P</f>
        <v>. . .</v>
      </c>
      <c r="E213" s="125" t="s">
        <v>855</v>
      </c>
      <c r="F213" s="163"/>
      <c r="G213" s="127" t="str">
        <f>P</f>
        <v>. . .</v>
      </c>
      <c r="H213" s="128" t="str">
        <f>P</f>
        <v>. . .</v>
      </c>
      <c r="I213" s="78" t="str">
        <f>R</f>
        <v>Réelle</v>
      </c>
      <c r="J213" s="78" t="s">
        <v>856</v>
      </c>
      <c r="K213" s="252" t="s">
        <v>857</v>
      </c>
      <c r="L213" s="164"/>
      <c r="M213" s="321" t="str">
        <f>"(3)"</f>
        <v>(3)</v>
      </c>
      <c r="N213" s="178"/>
      <c r="O213" s="179" t="str">
        <f>P</f>
        <v>. . .</v>
      </c>
      <c r="P213" s="113" t="str">
        <f>"(3)"</f>
        <v>(3)</v>
      </c>
      <c r="Q213" s="113" t="str">
        <f>"(3)"</f>
        <v>(3)</v>
      </c>
      <c r="R213" s="193" t="str">
        <f>"(3)"</f>
        <v>(3)</v>
      </c>
      <c r="S213" s="189"/>
      <c r="T213" s="9"/>
      <c r="U213" s="10"/>
      <c r="V213" s="11"/>
      <c r="W213" s="185" t="str">
        <f>t</f>
        <v>TVO</v>
      </c>
      <c r="X213" s="185"/>
      <c r="Y213" s="35">
        <v>5930</v>
      </c>
      <c r="Z213" s="35">
        <v>9052</v>
      </c>
      <c r="AA213" s="170"/>
      <c r="AB213" s="19"/>
      <c r="AC213" s="20"/>
      <c r="AD213" s="21"/>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34"/>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row>
    <row r="214" spans="1:92" s="1" customFormat="1" ht="12.75">
      <c r="A214" s="578">
        <v>101</v>
      </c>
      <c r="B214" s="89" t="s">
        <v>858</v>
      </c>
      <c r="C214" s="107" t="s">
        <v>859</v>
      </c>
      <c r="D214" s="73" t="s">
        <v>860</v>
      </c>
      <c r="E214" s="125"/>
      <c r="F214" s="163"/>
      <c r="G214" s="127"/>
      <c r="H214" s="494"/>
      <c r="I214" s="78"/>
      <c r="J214" s="78"/>
      <c r="K214" s="164"/>
      <c r="L214" s="164"/>
      <c r="M214" s="177"/>
      <c r="N214" s="178"/>
      <c r="O214" s="179"/>
      <c r="P214" s="168"/>
      <c r="Q214" s="168"/>
      <c r="R214" s="169"/>
      <c r="S214" s="189"/>
      <c r="T214" s="182"/>
      <c r="U214" s="183"/>
      <c r="V214" s="184"/>
      <c r="W214" s="185"/>
      <c r="X214" s="185"/>
      <c r="Y214" s="18"/>
      <c r="Z214" s="18"/>
      <c r="AA214" s="170"/>
      <c r="AB214" s="19"/>
      <c r="AC214" s="20"/>
      <c r="AD214" s="21"/>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34"/>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row>
    <row r="215" spans="1:92" s="1" customFormat="1" ht="12.75">
      <c r="A215" s="578"/>
      <c r="B215" s="89"/>
      <c r="C215" s="107" t="s">
        <v>861</v>
      </c>
      <c r="D215" s="73" t="str">
        <f>P</f>
        <v>. . .</v>
      </c>
      <c r="E215" s="125" t="s">
        <v>862</v>
      </c>
      <c r="F215" s="163"/>
      <c r="G215" s="127" t="str">
        <f>P</f>
        <v>. . .</v>
      </c>
      <c r="H215" s="128" t="str">
        <f>P</f>
        <v>. . .</v>
      </c>
      <c r="I215" s="78" t="str">
        <f>R</f>
        <v>Réelle</v>
      </c>
      <c r="J215" s="78" t="s">
        <v>863</v>
      </c>
      <c r="K215" s="252" t="s">
        <v>864</v>
      </c>
      <c r="L215" s="164"/>
      <c r="M215" s="321" t="str">
        <f>"(3)"</f>
        <v>(3)</v>
      </c>
      <c r="N215" s="178"/>
      <c r="O215" s="179" t="str">
        <f>P</f>
        <v>. . .</v>
      </c>
      <c r="P215" s="113" t="str">
        <f>"(3)"</f>
        <v>(3)</v>
      </c>
      <c r="Q215" s="113" t="str">
        <f>"(3)"</f>
        <v>(3)</v>
      </c>
      <c r="R215" s="193" t="str">
        <f>"(3)"</f>
        <v>(3)</v>
      </c>
      <c r="S215" s="189"/>
      <c r="T215" s="9"/>
      <c r="U215" s="10"/>
      <c r="V215" s="11"/>
      <c r="W215" s="88" t="str">
        <f>t</f>
        <v>TVO</v>
      </c>
      <c r="X215" s="88"/>
      <c r="Y215" s="35"/>
      <c r="Z215" s="35"/>
      <c r="AA215" s="170"/>
      <c r="AB215" s="19"/>
      <c r="AC215" s="20"/>
      <c r="AD215" s="21"/>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34"/>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row>
    <row r="216" spans="1:92" s="1" customFormat="1" ht="22.5" customHeight="1">
      <c r="A216" s="578"/>
      <c r="B216" s="89"/>
      <c r="C216" s="107" t="s">
        <v>865</v>
      </c>
      <c r="D216" s="73" t="s">
        <v>866</v>
      </c>
      <c r="E216" s="125"/>
      <c r="F216" s="163"/>
      <c r="G216" s="127"/>
      <c r="H216" s="494"/>
      <c r="I216" s="78"/>
      <c r="J216" s="78"/>
      <c r="K216" s="164"/>
      <c r="L216" s="164"/>
      <c r="M216" s="177"/>
      <c r="N216" s="178"/>
      <c r="O216" s="179"/>
      <c r="P216" s="168"/>
      <c r="Q216" s="168"/>
      <c r="R216" s="169"/>
      <c r="S216" s="189"/>
      <c r="T216" s="58"/>
      <c r="U216" s="59"/>
      <c r="V216" s="60"/>
      <c r="W216" s="61"/>
      <c r="X216" s="61"/>
      <c r="Y216" s="18">
        <v>9181</v>
      </c>
      <c r="Z216" s="18" t="s">
        <v>867</v>
      </c>
      <c r="AA216" s="35"/>
      <c r="AB216" s="19"/>
      <c r="AC216" s="20"/>
      <c r="AD216" s="21"/>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34"/>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row>
    <row r="217" spans="1:92" s="1" customFormat="1" ht="12.75">
      <c r="A217" s="578"/>
      <c r="B217" s="89"/>
      <c r="C217" s="107" t="s">
        <v>868</v>
      </c>
      <c r="D217" s="302"/>
      <c r="E217" s="303"/>
      <c r="F217" s="34"/>
      <c r="G217" s="304"/>
      <c r="H217" s="304"/>
      <c r="I217" s="305"/>
      <c r="J217" s="305"/>
      <c r="K217" s="306"/>
      <c r="L217" s="306"/>
      <c r="M217" s="307"/>
      <c r="N217" s="308"/>
      <c r="O217" s="309"/>
      <c r="P217" s="305"/>
      <c r="Q217" s="310"/>
      <c r="R217" s="311"/>
      <c r="S217" s="189"/>
      <c r="T217" s="85"/>
      <c r="U217" s="86"/>
      <c r="V217" s="87"/>
      <c r="W217" s="88"/>
      <c r="X217" s="88"/>
      <c r="Y217" s="13"/>
      <c r="Z217" s="13"/>
      <c r="AA217" s="18"/>
      <c r="AB217" s="19"/>
      <c r="AC217" s="20"/>
      <c r="AD217" s="21"/>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34"/>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row>
    <row r="218" spans="1:92" s="603" customFormat="1" ht="18.75">
      <c r="A218" s="599">
        <v>102</v>
      </c>
      <c r="B218" s="600" t="s">
        <v>869</v>
      </c>
      <c r="C218" s="601" t="s">
        <v>870</v>
      </c>
      <c r="D218" s="78" t="str">
        <f>P</f>
        <v>. . .</v>
      </c>
      <c r="E218" s="125">
        <f>TEClubrifiant</f>
        <v>0</v>
      </c>
      <c r="F218" s="163"/>
      <c r="G218" s="127" t="str">
        <f>P</f>
        <v>. . .</v>
      </c>
      <c r="H218" s="128" t="str">
        <f>P</f>
        <v>. . .</v>
      </c>
      <c r="I218" s="78">
        <f>VFHL</f>
        <v>22.87</v>
      </c>
      <c r="J218" s="78" t="s">
        <v>871</v>
      </c>
      <c r="K218" s="250">
        <f>ROUND(I218*TEClubrifiant,2)</f>
        <v>0.85</v>
      </c>
      <c r="L218" s="164"/>
      <c r="M218" s="177" t="s">
        <v>872</v>
      </c>
      <c r="N218" s="178"/>
      <c r="O218" s="602">
        <f>TGAP</f>
        <v>3.811</v>
      </c>
      <c r="P218" s="113" t="str">
        <f>P</f>
        <v>. . .</v>
      </c>
      <c r="Q218" s="180">
        <f>SUM(I218:P218)*19.6%</f>
        <v>5.396076</v>
      </c>
      <c r="R218" s="221">
        <f>SUM(I218:P218)*13%</f>
        <v>3.57903</v>
      </c>
      <c r="S218" s="189"/>
      <c r="T218" s="58">
        <v>5703</v>
      </c>
      <c r="U218" s="59" t="s">
        <v>873</v>
      </c>
      <c r="V218" s="11"/>
      <c r="W218" s="219">
        <v>5942</v>
      </c>
      <c r="X218" s="219"/>
      <c r="Y218" s="13"/>
      <c r="Z218" s="13"/>
      <c r="AA218" s="35"/>
      <c r="AB218" s="19"/>
      <c r="AC218" s="20"/>
      <c r="AD218" s="21"/>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34"/>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row>
    <row r="219" spans="1:92" s="1" customFormat="1" ht="14.25" customHeight="1">
      <c r="A219" s="578">
        <v>103</v>
      </c>
      <c r="B219" s="89" t="s">
        <v>874</v>
      </c>
      <c r="C219" s="107" t="s">
        <v>875</v>
      </c>
      <c r="D219" s="78" t="str">
        <f>P</f>
        <v>. . .</v>
      </c>
      <c r="E219" s="125">
        <f>TEClubrifiant</f>
        <v>0</v>
      </c>
      <c r="F219" s="163"/>
      <c r="G219" s="127" t="str">
        <f>P</f>
        <v>. . .</v>
      </c>
      <c r="H219" s="128" t="str">
        <f>P</f>
        <v>. . .</v>
      </c>
      <c r="I219" s="78">
        <f>VFHL</f>
        <v>22.87</v>
      </c>
      <c r="J219" s="78" t="s">
        <v>876</v>
      </c>
      <c r="K219" s="250">
        <f>ROUND(I219*TEClubrifiant,2)</f>
        <v>0.85</v>
      </c>
      <c r="L219" s="164"/>
      <c r="M219" s="177" t="s">
        <v>877</v>
      </c>
      <c r="N219" s="178"/>
      <c r="O219" s="179" t="str">
        <f>P</f>
        <v>. . .</v>
      </c>
      <c r="P219" s="113" t="str">
        <f>P</f>
        <v>. . .</v>
      </c>
      <c r="Q219" s="180">
        <f>SUM(I219:P219)*19.6%</f>
        <v>4.649120000000001</v>
      </c>
      <c r="R219" s="221">
        <f>SUM(I219:P219)*13%</f>
        <v>3.0836000000000006</v>
      </c>
      <c r="S219" s="199"/>
      <c r="T219" s="9"/>
      <c r="U219" s="10"/>
      <c r="V219" s="11"/>
      <c r="W219" s="402">
        <v>5900</v>
      </c>
      <c r="X219" s="219"/>
      <c r="Y219" s="170"/>
      <c r="Z219" s="170"/>
      <c r="AA219" s="18"/>
      <c r="AB219" s="19"/>
      <c r="AC219" s="20"/>
      <c r="AD219" s="21"/>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34"/>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row>
    <row r="220" spans="1:92" s="1" customFormat="1" ht="24" customHeight="1">
      <c r="A220" s="578"/>
      <c r="B220" s="107"/>
      <c r="C220" s="107"/>
      <c r="D220" s="78"/>
      <c r="E220" s="125"/>
      <c r="F220" s="166"/>
      <c r="G220" s="604"/>
      <c r="H220" s="604"/>
      <c r="I220" s="78"/>
      <c r="J220" s="78"/>
      <c r="K220" s="605"/>
      <c r="L220" s="606"/>
      <c r="M220" s="177"/>
      <c r="N220" s="178"/>
      <c r="O220" s="113"/>
      <c r="P220" s="113"/>
      <c r="Q220" s="180"/>
      <c r="R220" s="169"/>
      <c r="S220" s="57"/>
      <c r="T220" s="404"/>
      <c r="U220" s="405"/>
      <c r="V220" s="11"/>
      <c r="W220" s="12"/>
      <c r="X220" s="12"/>
      <c r="Y220" s="170">
        <v>9181</v>
      </c>
      <c r="Z220" s="18" t="s">
        <v>878</v>
      </c>
      <c r="AA220" s="13"/>
      <c r="AB220" s="19"/>
      <c r="AC220" s="20"/>
      <c r="AD220" s="21"/>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34"/>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row>
    <row r="221" spans="1:92" s="1" customFormat="1" ht="12.75">
      <c r="A221" s="578"/>
      <c r="B221" s="89"/>
      <c r="C221" s="107" t="s">
        <v>879</v>
      </c>
      <c r="D221" s="78"/>
      <c r="E221" s="607"/>
      <c r="F221" s="163"/>
      <c r="G221" s="127"/>
      <c r="H221" s="128"/>
      <c r="I221" s="78"/>
      <c r="J221" s="78"/>
      <c r="K221" s="608"/>
      <c r="L221" s="164"/>
      <c r="M221" s="177" t="s">
        <v>880</v>
      </c>
      <c r="N221" s="178"/>
      <c r="O221" s="179"/>
      <c r="P221" s="113"/>
      <c r="Q221" s="180"/>
      <c r="R221" s="181"/>
      <c r="S221" s="199"/>
      <c r="T221" s="182"/>
      <c r="U221" s="183"/>
      <c r="V221" s="184"/>
      <c r="W221" s="185"/>
      <c r="X221" s="185"/>
      <c r="Y221" s="170"/>
      <c r="Z221" s="170"/>
      <c r="AA221" s="13"/>
      <c r="AB221" s="19"/>
      <c r="AC221" s="20"/>
      <c r="AD221" s="21"/>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34"/>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row>
    <row r="222" spans="1:92" s="1" customFormat="1" ht="18.75">
      <c r="A222" s="599">
        <v>104</v>
      </c>
      <c r="B222" s="372" t="s">
        <v>881</v>
      </c>
      <c r="C222" s="601" t="s">
        <v>882</v>
      </c>
      <c r="D222" s="78" t="str">
        <f>P</f>
        <v>. . .</v>
      </c>
      <c r="E222" s="125">
        <f>TEClubrifiant</f>
        <v>0</v>
      </c>
      <c r="F222" s="163"/>
      <c r="G222" s="127" t="str">
        <f>P</f>
        <v>. . .</v>
      </c>
      <c r="H222" s="128" t="str">
        <f>P</f>
        <v>. . .</v>
      </c>
      <c r="I222" s="78">
        <f>VFHL</f>
        <v>22.87</v>
      </c>
      <c r="J222" s="78" t="s">
        <v>883</v>
      </c>
      <c r="K222" s="250">
        <f>ROUND(I222*TEClubrifiant,2)</f>
        <v>0.85</v>
      </c>
      <c r="L222" s="164"/>
      <c r="M222" s="177" t="s">
        <v>884</v>
      </c>
      <c r="N222" s="178"/>
      <c r="O222" s="602">
        <f>TGAP</f>
        <v>3.811</v>
      </c>
      <c r="P222" s="113" t="str">
        <f>P</f>
        <v>. . .</v>
      </c>
      <c r="Q222" s="180">
        <f>TVATGAPLUBMETRO</f>
        <v>5.396076</v>
      </c>
      <c r="R222" s="181">
        <f>TVATGAPLUBCORSE</f>
        <v>3.57903</v>
      </c>
      <c r="S222" s="57"/>
      <c r="T222" s="182">
        <v>5703</v>
      </c>
      <c r="U222" s="59" t="s">
        <v>885</v>
      </c>
      <c r="V222" s="11"/>
      <c r="W222" s="190">
        <v>5942</v>
      </c>
      <c r="X222" s="190"/>
      <c r="Y222" s="170"/>
      <c r="Z222" s="170"/>
      <c r="AA222" s="170"/>
      <c r="AB222" s="19"/>
      <c r="AC222" s="20"/>
      <c r="AD222" s="21"/>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34"/>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row>
    <row r="223" spans="1:92" s="1" customFormat="1" ht="12.75">
      <c r="A223" s="578">
        <v>105</v>
      </c>
      <c r="B223" s="89" t="s">
        <v>886</v>
      </c>
      <c r="C223" s="107" t="s">
        <v>887</v>
      </c>
      <c r="D223" s="78" t="str">
        <f>P</f>
        <v>. . .</v>
      </c>
      <c r="E223" s="125">
        <f>TEClubrifiant</f>
        <v>0</v>
      </c>
      <c r="F223" s="163"/>
      <c r="G223" s="127" t="str">
        <f>P</f>
        <v>. . .</v>
      </c>
      <c r="H223" s="128" t="str">
        <f>P</f>
        <v>. . .</v>
      </c>
      <c r="I223" s="78">
        <f>VFHL</f>
        <v>22.87</v>
      </c>
      <c r="J223" s="78" t="s">
        <v>888</v>
      </c>
      <c r="K223" s="250">
        <f>ROUND(I223*TEClubrifiant,2)</f>
        <v>0.85</v>
      </c>
      <c r="L223" s="164"/>
      <c r="M223" s="177" t="s">
        <v>889</v>
      </c>
      <c r="N223" s="178"/>
      <c r="O223" s="179"/>
      <c r="P223" s="113" t="str">
        <f>P</f>
        <v>. . .</v>
      </c>
      <c r="Q223" s="180">
        <f>TVALUBMETRO</f>
        <v>4.649120000000001</v>
      </c>
      <c r="R223" s="181">
        <f>TVALUBCORSE</f>
        <v>3.0836000000000006</v>
      </c>
      <c r="S223" s="388"/>
      <c r="T223" s="9"/>
      <c r="U223" s="10"/>
      <c r="V223" s="184"/>
      <c r="W223" s="190">
        <v>5900</v>
      </c>
      <c r="X223" s="190"/>
      <c r="Y223" s="18"/>
      <c r="Z223" s="18"/>
      <c r="AA223" s="170"/>
      <c r="AB223" s="19"/>
      <c r="AC223" s="20"/>
      <c r="AD223" s="21"/>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34"/>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row>
    <row r="224" spans="1:92" s="1" customFormat="1" ht="12.75">
      <c r="A224" s="578"/>
      <c r="B224" s="107"/>
      <c r="C224" s="7"/>
      <c r="D224" s="78"/>
      <c r="E224" s="607"/>
      <c r="F224" s="163"/>
      <c r="G224" s="127"/>
      <c r="H224" s="128"/>
      <c r="I224" s="78"/>
      <c r="J224" s="78"/>
      <c r="K224" s="608"/>
      <c r="L224" s="164"/>
      <c r="M224" s="177"/>
      <c r="N224" s="178"/>
      <c r="O224" s="179"/>
      <c r="P224" s="113"/>
      <c r="Q224" s="168"/>
      <c r="R224" s="169"/>
      <c r="S224" s="388"/>
      <c r="T224" s="9"/>
      <c r="U224" s="10"/>
      <c r="V224" s="184"/>
      <c r="W224" s="185"/>
      <c r="X224" s="185"/>
      <c r="Y224" s="170"/>
      <c r="Z224" s="170"/>
      <c r="AA224" s="170"/>
      <c r="AB224" s="19"/>
      <c r="AC224" s="609"/>
      <c r="AD224" s="21"/>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34"/>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row>
    <row r="225" spans="1:92" s="1" customFormat="1" ht="24" customHeight="1">
      <c r="A225" s="578">
        <v>106</v>
      </c>
      <c r="B225" s="89" t="s">
        <v>890</v>
      </c>
      <c r="C225" s="107" t="s">
        <v>891</v>
      </c>
      <c r="D225" s="78" t="str">
        <f>P</f>
        <v>. . .</v>
      </c>
      <c r="E225" s="125">
        <f>TEClubrifiant</f>
        <v>0</v>
      </c>
      <c r="F225" s="163"/>
      <c r="G225" s="127" t="str">
        <f>P</f>
        <v>. . .</v>
      </c>
      <c r="H225" s="128" t="str">
        <f>P</f>
        <v>. . .</v>
      </c>
      <c r="I225" s="78">
        <f>VFHL</f>
        <v>22.87</v>
      </c>
      <c r="J225" s="78" t="s">
        <v>892</v>
      </c>
      <c r="K225" s="250">
        <f>ROUND(I225*TEClubrifiant,2)</f>
        <v>0.85</v>
      </c>
      <c r="L225" s="164"/>
      <c r="M225" s="177" t="s">
        <v>893</v>
      </c>
      <c r="N225" s="178"/>
      <c r="O225" s="179"/>
      <c r="P225" s="113" t="str">
        <f>P</f>
        <v>. . .</v>
      </c>
      <c r="Q225" s="180">
        <f>TVALUBMETRO</f>
        <v>4.649120000000001</v>
      </c>
      <c r="R225" s="181">
        <f>TVALUBCORSE</f>
        <v>3.0836000000000006</v>
      </c>
      <c r="S225" s="189"/>
      <c r="T225" s="9"/>
      <c r="U225" s="10"/>
      <c r="V225" s="60"/>
      <c r="W225" s="219">
        <v>5900</v>
      </c>
      <c r="X225" s="219"/>
      <c r="Y225" s="170">
        <v>9181</v>
      </c>
      <c r="Z225" s="18" t="s">
        <v>894</v>
      </c>
      <c r="AA225" s="543"/>
      <c r="AB225" s="610"/>
      <c r="AC225" s="20"/>
      <c r="AD225" s="21"/>
      <c r="AE225" s="22"/>
      <c r="AF225" s="22"/>
      <c r="AG225" s="22"/>
      <c r="AH225" s="22"/>
      <c r="AI225" s="256"/>
      <c r="AJ225" s="256"/>
      <c r="AK225" s="256"/>
      <c r="AL225" s="256"/>
      <c r="AM225" s="256"/>
      <c r="AN225" s="256"/>
      <c r="AO225" s="256"/>
      <c r="AP225" s="256"/>
      <c r="AQ225" s="256"/>
      <c r="AR225" s="256"/>
      <c r="AS225" s="256"/>
      <c r="AT225" s="256"/>
      <c r="AU225" s="256"/>
      <c r="AV225" s="256"/>
      <c r="AW225" s="256"/>
      <c r="AX225" s="256"/>
      <c r="AY225" s="256"/>
      <c r="AZ225" s="256"/>
      <c r="BA225" s="256"/>
      <c r="BB225" s="256"/>
      <c r="BC225" s="256"/>
      <c r="BD225" s="256"/>
      <c r="BE225" s="256"/>
      <c r="BF225" s="256"/>
      <c r="BG225" s="34"/>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row>
    <row r="226" spans="1:92" s="1" customFormat="1" ht="12.75">
      <c r="A226" s="578"/>
      <c r="B226" s="89"/>
      <c r="C226" s="107" t="s">
        <v>895</v>
      </c>
      <c r="D226" s="78"/>
      <c r="E226" s="607"/>
      <c r="F226" s="163"/>
      <c r="G226" s="127"/>
      <c r="H226" s="128"/>
      <c r="I226" s="78"/>
      <c r="J226" s="78"/>
      <c r="K226" s="608"/>
      <c r="L226" s="164"/>
      <c r="M226" s="177"/>
      <c r="N226" s="178"/>
      <c r="O226" s="179"/>
      <c r="P226" s="113"/>
      <c r="Q226" s="168"/>
      <c r="R226" s="169"/>
      <c r="S226" s="189"/>
      <c r="T226" s="182"/>
      <c r="U226" s="183"/>
      <c r="V226" s="184"/>
      <c r="W226" s="185"/>
      <c r="X226" s="185"/>
      <c r="Y226" s="18"/>
      <c r="Z226" s="18"/>
      <c r="AA226" s="18"/>
      <c r="AB226" s="19"/>
      <c r="AC226" s="20"/>
      <c r="AD226" s="21"/>
      <c r="AE226" s="22"/>
      <c r="AF226" s="22"/>
      <c r="AG226" s="22"/>
      <c r="AH226" s="22"/>
      <c r="AI226" s="256"/>
      <c r="AJ226" s="256"/>
      <c r="AK226" s="256"/>
      <c r="AL226" s="256"/>
      <c r="AM226" s="256"/>
      <c r="AN226" s="256"/>
      <c r="AO226" s="256"/>
      <c r="AP226" s="256"/>
      <c r="AQ226" s="256"/>
      <c r="AR226" s="256"/>
      <c r="AS226" s="256"/>
      <c r="AT226" s="256"/>
      <c r="AU226" s="256"/>
      <c r="AV226" s="256"/>
      <c r="AW226" s="256"/>
      <c r="AX226" s="256"/>
      <c r="AY226" s="256"/>
      <c r="AZ226" s="256"/>
      <c r="BA226" s="256"/>
      <c r="BB226" s="256"/>
      <c r="BC226" s="256"/>
      <c r="BD226" s="256"/>
      <c r="BE226" s="256"/>
      <c r="BF226" s="256"/>
      <c r="BG226" s="34"/>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row>
    <row r="227" spans="1:92" s="613" customFormat="1" ht="12.75" customHeight="1">
      <c r="A227" s="578">
        <v>107</v>
      </c>
      <c r="B227" s="372" t="s">
        <v>896</v>
      </c>
      <c r="C227" s="601" t="s">
        <v>897</v>
      </c>
      <c r="D227" s="78" t="str">
        <f>P</f>
        <v>. . .</v>
      </c>
      <c r="E227" s="125">
        <f>TEClubrifiant</f>
        <v>0</v>
      </c>
      <c r="F227" s="166"/>
      <c r="G227" s="127" t="str">
        <f>P</f>
        <v>. . .</v>
      </c>
      <c r="H227" s="128" t="str">
        <f>P</f>
        <v>. . .</v>
      </c>
      <c r="I227" s="78">
        <f>VFHL</f>
        <v>22.87</v>
      </c>
      <c r="J227" s="78" t="s">
        <v>898</v>
      </c>
      <c r="K227" s="250">
        <f>ROUND(I227*TEClubrifiant,2)</f>
        <v>0.85</v>
      </c>
      <c r="L227" s="164"/>
      <c r="M227" s="177" t="s">
        <v>899</v>
      </c>
      <c r="N227" s="178"/>
      <c r="O227" s="602">
        <f>TGAP</f>
        <v>3.811</v>
      </c>
      <c r="P227" s="113" t="str">
        <f>P</f>
        <v>. . .</v>
      </c>
      <c r="Q227" s="180">
        <f>TVATGAPLUBMETRO</f>
        <v>5.396076</v>
      </c>
      <c r="R227" s="181">
        <f>TVATGAPLUBCORSE</f>
        <v>3.57903</v>
      </c>
      <c r="S227" s="189"/>
      <c r="T227" s="182">
        <v>5703</v>
      </c>
      <c r="U227" s="59" t="s">
        <v>900</v>
      </c>
      <c r="V227" s="11"/>
      <c r="W227" s="190">
        <v>5942</v>
      </c>
      <c r="X227" s="190"/>
      <c r="Y227" s="170"/>
      <c r="Z227" s="170"/>
      <c r="AA227" s="170"/>
      <c r="AB227" s="254"/>
      <c r="AC227" s="20"/>
      <c r="AD227" s="531"/>
      <c r="AE227" s="448"/>
      <c r="AF227" s="448"/>
      <c r="AG227" s="448"/>
      <c r="AH227" s="448"/>
      <c r="AI227" s="611"/>
      <c r="AJ227" s="611"/>
      <c r="AK227" s="611"/>
      <c r="AL227" s="611"/>
      <c r="AM227" s="611"/>
      <c r="AN227" s="611"/>
      <c r="AO227" s="611"/>
      <c r="AP227" s="611"/>
      <c r="AQ227" s="611"/>
      <c r="AR227" s="611"/>
      <c r="AS227" s="611"/>
      <c r="AT227" s="611"/>
      <c r="AU227" s="611"/>
      <c r="AV227" s="611"/>
      <c r="AW227" s="611"/>
      <c r="AX227" s="611"/>
      <c r="AY227" s="611"/>
      <c r="AZ227" s="611"/>
      <c r="BA227" s="611"/>
      <c r="BB227" s="611"/>
      <c r="BC227" s="611"/>
      <c r="BD227" s="611"/>
      <c r="BE227" s="611"/>
      <c r="BF227" s="611"/>
      <c r="BG227" s="447"/>
      <c r="BH227" s="612"/>
      <c r="BI227" s="612"/>
      <c r="BJ227" s="612"/>
      <c r="BK227" s="612"/>
      <c r="BL227" s="612"/>
      <c r="BM227" s="612"/>
      <c r="BN227" s="612"/>
      <c r="BO227" s="612"/>
      <c r="BP227" s="612"/>
      <c r="BQ227" s="612"/>
      <c r="BR227" s="612"/>
      <c r="BS227" s="612"/>
      <c r="BT227" s="612"/>
      <c r="BU227" s="612"/>
      <c r="BV227" s="612"/>
      <c r="BW227" s="612"/>
      <c r="BX227" s="612"/>
      <c r="BY227" s="612"/>
      <c r="BZ227" s="612"/>
      <c r="CA227" s="612"/>
      <c r="CB227" s="612"/>
      <c r="CC227" s="612"/>
      <c r="CD227" s="612"/>
      <c r="CE227" s="612"/>
      <c r="CF227" s="612"/>
      <c r="CG227" s="612"/>
      <c r="CH227" s="612"/>
      <c r="CI227" s="612"/>
      <c r="CJ227" s="612"/>
      <c r="CK227" s="612"/>
      <c r="CL227" s="612"/>
      <c r="CM227" s="612"/>
      <c r="CN227" s="612"/>
    </row>
    <row r="228" spans="1:92" s="1" customFormat="1" ht="24" customHeight="1">
      <c r="A228" s="578">
        <v>108</v>
      </c>
      <c r="B228" s="89" t="s">
        <v>901</v>
      </c>
      <c r="C228" s="107" t="s">
        <v>902</v>
      </c>
      <c r="D228" s="78" t="str">
        <f>P</f>
        <v>. . .</v>
      </c>
      <c r="E228" s="125">
        <f>TEClubrifiant</f>
        <v>0</v>
      </c>
      <c r="F228" s="163"/>
      <c r="G228" s="127" t="str">
        <f>P</f>
        <v>. . .</v>
      </c>
      <c r="H228" s="128" t="str">
        <f>P</f>
        <v>. . .</v>
      </c>
      <c r="I228" s="78">
        <f>VFHL</f>
        <v>22.87</v>
      </c>
      <c r="J228" s="78" t="s">
        <v>903</v>
      </c>
      <c r="K228" s="250">
        <f>ROUND(I228*TEClubrifiant,2)</f>
        <v>0.85</v>
      </c>
      <c r="L228" s="164"/>
      <c r="M228" s="177" t="s">
        <v>904</v>
      </c>
      <c r="N228" s="178"/>
      <c r="O228" s="179"/>
      <c r="P228" s="113" t="str">
        <f>P</f>
        <v>. . .</v>
      </c>
      <c r="Q228" s="180">
        <f>TVALUBMETRO</f>
        <v>4.649120000000001</v>
      </c>
      <c r="R228" s="181">
        <f>TVALUBCORSE</f>
        <v>3.0836000000000006</v>
      </c>
      <c r="S228" s="189"/>
      <c r="T228" s="9"/>
      <c r="U228" s="10"/>
      <c r="V228" s="60"/>
      <c r="W228" s="219">
        <v>5900</v>
      </c>
      <c r="X228" s="219"/>
      <c r="Y228" s="170">
        <v>9181</v>
      </c>
      <c r="Z228" s="18" t="s">
        <v>905</v>
      </c>
      <c r="AA228" s="170"/>
      <c r="AB228" s="19"/>
      <c r="AC228" s="20"/>
      <c r="AD228" s="21"/>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34"/>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row>
    <row r="229" spans="1:92" s="1" customFormat="1" ht="12.75">
      <c r="A229" s="578"/>
      <c r="B229" s="89"/>
      <c r="C229" s="107" t="s">
        <v>906</v>
      </c>
      <c r="D229" s="78"/>
      <c r="E229" s="607"/>
      <c r="F229" s="163"/>
      <c r="G229" s="127"/>
      <c r="H229" s="128"/>
      <c r="I229" s="78"/>
      <c r="J229" s="78"/>
      <c r="K229" s="608"/>
      <c r="L229" s="164"/>
      <c r="M229" s="177"/>
      <c r="N229" s="178"/>
      <c r="O229" s="179"/>
      <c r="P229" s="113"/>
      <c r="Q229" s="168"/>
      <c r="R229" s="169"/>
      <c r="S229" s="545"/>
      <c r="T229" s="182"/>
      <c r="U229" s="183"/>
      <c r="V229" s="184"/>
      <c r="W229" s="185"/>
      <c r="X229" s="185"/>
      <c r="Y229" s="18"/>
      <c r="Z229" s="18"/>
      <c r="AA229" s="18"/>
      <c r="AB229" s="19"/>
      <c r="AC229" s="20"/>
      <c r="AD229" s="21"/>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34"/>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row>
    <row r="230" spans="1:92" s="1" customFormat="1" ht="18.75">
      <c r="A230" s="599">
        <v>109</v>
      </c>
      <c r="B230" s="372" t="s">
        <v>907</v>
      </c>
      <c r="C230" s="601" t="s">
        <v>908</v>
      </c>
      <c r="D230" s="78" t="str">
        <f>P</f>
        <v>. . .</v>
      </c>
      <c r="E230" s="125">
        <f>TEClubrifiant</f>
        <v>0</v>
      </c>
      <c r="F230" s="163"/>
      <c r="G230" s="127" t="str">
        <f>P</f>
        <v>. . .</v>
      </c>
      <c r="H230" s="128" t="str">
        <f>P</f>
        <v>. . .</v>
      </c>
      <c r="I230" s="78">
        <f>VFHL</f>
        <v>22.87</v>
      </c>
      <c r="J230" s="78" t="s">
        <v>909</v>
      </c>
      <c r="K230" s="250">
        <f>ROUND(I230*TEClubrifiant,2)</f>
        <v>0.85</v>
      </c>
      <c r="L230" s="164"/>
      <c r="M230" s="177" t="s">
        <v>910</v>
      </c>
      <c r="N230" s="178"/>
      <c r="O230" s="602">
        <f>TGAP</f>
        <v>3.811</v>
      </c>
      <c r="P230" s="113" t="str">
        <f>P</f>
        <v>. . .</v>
      </c>
      <c r="Q230" s="180">
        <f>TVATGAPLUBMETRO</f>
        <v>5.396076</v>
      </c>
      <c r="R230" s="181">
        <f>TVATGAPLUBCORSE</f>
        <v>3.57903</v>
      </c>
      <c r="S230" s="482"/>
      <c r="T230" s="182">
        <v>5703</v>
      </c>
      <c r="U230" s="59" t="s">
        <v>911</v>
      </c>
      <c r="V230" s="11"/>
      <c r="W230" s="190">
        <v>5942</v>
      </c>
      <c r="X230" s="190"/>
      <c r="Y230" s="170"/>
      <c r="Z230" s="170"/>
      <c r="AA230" s="170"/>
      <c r="AB230" s="19"/>
      <c r="AC230" s="20"/>
      <c r="AD230" s="21"/>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34"/>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row>
    <row r="231" spans="1:92" s="564" customFormat="1" ht="24" customHeight="1">
      <c r="A231" s="614">
        <v>110</v>
      </c>
      <c r="B231" s="546" t="s">
        <v>912</v>
      </c>
      <c r="C231" s="533" t="s">
        <v>913</v>
      </c>
      <c r="D231" s="230" t="str">
        <f>P</f>
        <v>. . .</v>
      </c>
      <c r="E231" s="226">
        <f>TEClubrifiant</f>
        <v>0</v>
      </c>
      <c r="F231" s="227"/>
      <c r="G231" s="228" t="str">
        <f>P</f>
        <v>. . .</v>
      </c>
      <c r="H231" s="229" t="str">
        <f>P</f>
        <v>. . .</v>
      </c>
      <c r="I231" s="615">
        <f>VFHL</f>
        <v>22.87</v>
      </c>
      <c r="J231" s="230" t="s">
        <v>914</v>
      </c>
      <c r="K231" s="453">
        <f>ROUND(I231*TEClubrifiant,2)</f>
        <v>0.85</v>
      </c>
      <c r="L231" s="231"/>
      <c r="M231" s="547" t="s">
        <v>915</v>
      </c>
      <c r="N231" s="548"/>
      <c r="O231" s="616"/>
      <c r="P231" s="235" t="str">
        <f>P</f>
        <v>. . .</v>
      </c>
      <c r="Q231" s="550">
        <f>TVALUBMETRO</f>
        <v>4.649120000000001</v>
      </c>
      <c r="R231" s="551">
        <f>TVALUBCORSE</f>
        <v>3.0836000000000006</v>
      </c>
      <c r="S231" s="617"/>
      <c r="T231" s="553"/>
      <c r="U231" s="554"/>
      <c r="V231" s="618"/>
      <c r="W231" s="619">
        <v>5900</v>
      </c>
      <c r="X231" s="619"/>
      <c r="Y231" s="557">
        <v>9181</v>
      </c>
      <c r="Z231" s="620" t="s">
        <v>916</v>
      </c>
      <c r="AA231" s="557"/>
      <c r="AB231" s="558"/>
      <c r="AC231" s="559"/>
      <c r="AD231" s="621"/>
      <c r="AE231" s="622"/>
      <c r="AF231" s="622"/>
      <c r="AG231" s="622"/>
      <c r="AH231" s="622"/>
      <c r="AI231" s="622"/>
      <c r="AJ231" s="622"/>
      <c r="AK231" s="622"/>
      <c r="AL231" s="622"/>
      <c r="AM231" s="622"/>
      <c r="AN231" s="622"/>
      <c r="AO231" s="622"/>
      <c r="AP231" s="622"/>
      <c r="AQ231" s="622"/>
      <c r="AR231" s="622"/>
      <c r="AS231" s="622"/>
      <c r="AT231" s="622"/>
      <c r="AU231" s="622"/>
      <c r="AV231" s="622"/>
      <c r="AW231" s="622"/>
      <c r="AX231" s="622"/>
      <c r="AY231" s="622"/>
      <c r="AZ231" s="622"/>
      <c r="BA231" s="622"/>
      <c r="BB231" s="622"/>
      <c r="BC231" s="622"/>
      <c r="BD231" s="622"/>
      <c r="BE231" s="622"/>
      <c r="BF231" s="622"/>
      <c r="BG231" s="586"/>
      <c r="BH231" s="563"/>
      <c r="BI231" s="563"/>
      <c r="BJ231" s="563"/>
      <c r="BK231" s="563"/>
      <c r="BL231" s="563"/>
      <c r="BM231" s="563"/>
      <c r="BN231" s="563"/>
      <c r="BO231" s="563"/>
      <c r="BP231" s="563"/>
      <c r="BQ231" s="563"/>
      <c r="BR231" s="563"/>
      <c r="BS231" s="563"/>
      <c r="BT231" s="563"/>
      <c r="BU231" s="563"/>
      <c r="BV231" s="563"/>
      <c r="BW231" s="563"/>
      <c r="BX231" s="563"/>
      <c r="BY231" s="563"/>
      <c r="BZ231" s="563"/>
      <c r="CA231" s="563"/>
      <c r="CB231" s="563"/>
      <c r="CC231" s="563"/>
      <c r="CD231" s="563"/>
      <c r="CE231" s="563"/>
      <c r="CF231" s="563"/>
      <c r="CG231" s="563"/>
      <c r="CH231" s="563"/>
      <c r="CI231" s="563"/>
      <c r="CJ231" s="563"/>
      <c r="CK231" s="563"/>
      <c r="CL231" s="563"/>
      <c r="CM231" s="563"/>
      <c r="CN231" s="563"/>
    </row>
    <row r="232" spans="1:92" s="1" customFormat="1" ht="12.75">
      <c r="A232" s="578"/>
      <c r="B232" s="89"/>
      <c r="C232" s="107" t="s">
        <v>917</v>
      </c>
      <c r="D232" s="78"/>
      <c r="E232" s="607"/>
      <c r="F232" s="163"/>
      <c r="G232" s="127"/>
      <c r="H232" s="128"/>
      <c r="I232" s="78"/>
      <c r="J232" s="78"/>
      <c r="K232" s="608"/>
      <c r="L232" s="164"/>
      <c r="M232" s="177"/>
      <c r="N232" s="178"/>
      <c r="O232" s="602"/>
      <c r="P232" s="113"/>
      <c r="Q232" s="168"/>
      <c r="R232" s="169"/>
      <c r="S232" s="218"/>
      <c r="T232" s="182"/>
      <c r="U232" s="183"/>
      <c r="V232" s="184"/>
      <c r="W232" s="185"/>
      <c r="X232" s="185"/>
      <c r="Y232" s="18"/>
      <c r="Z232" s="18"/>
      <c r="AA232" s="18"/>
      <c r="AB232" s="19"/>
      <c r="AC232" s="20"/>
      <c r="AD232" s="21"/>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34"/>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row>
    <row r="233" spans="1:92" s="1" customFormat="1" ht="18.75">
      <c r="A233" s="599">
        <v>111</v>
      </c>
      <c r="B233" s="372" t="s">
        <v>918</v>
      </c>
      <c r="C233" s="601" t="s">
        <v>919</v>
      </c>
      <c r="D233" s="78" t="str">
        <f>P</f>
        <v>. . .</v>
      </c>
      <c r="E233" s="125">
        <f>TEClubrifiant</f>
        <v>0</v>
      </c>
      <c r="F233" s="163"/>
      <c r="G233" s="127" t="str">
        <f>P</f>
        <v>. . .</v>
      </c>
      <c r="H233" s="128" t="str">
        <f>P</f>
        <v>. . .</v>
      </c>
      <c r="I233" s="623">
        <f>VFHL</f>
        <v>22.87</v>
      </c>
      <c r="J233" s="78" t="s">
        <v>920</v>
      </c>
      <c r="K233" s="250">
        <f>ROUND(I233*TEClubrifiant,2)</f>
        <v>0.85</v>
      </c>
      <c r="L233" s="164"/>
      <c r="M233" s="177" t="s">
        <v>921</v>
      </c>
      <c r="N233" s="178"/>
      <c r="O233" s="602">
        <f>TGAP</f>
        <v>3.811</v>
      </c>
      <c r="P233" s="113" t="str">
        <f>P</f>
        <v>. . .</v>
      </c>
      <c r="Q233" s="180">
        <f>TVATGAPLUBMETRO</f>
        <v>5.396076</v>
      </c>
      <c r="R233" s="181">
        <f>TVATGAPLUBCORSE</f>
        <v>3.57903</v>
      </c>
      <c r="S233" s="482"/>
      <c r="T233" s="182">
        <v>5703</v>
      </c>
      <c r="U233" s="59" t="s">
        <v>922</v>
      </c>
      <c r="V233" s="11"/>
      <c r="W233" s="190">
        <v>5942</v>
      </c>
      <c r="X233" s="190"/>
      <c r="Y233" s="170"/>
      <c r="Z233" s="170"/>
      <c r="AA233" s="170"/>
      <c r="AB233" s="19"/>
      <c r="AC233" s="20"/>
      <c r="AD233" s="21"/>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34"/>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row>
    <row r="234" spans="1:92" s="1" customFormat="1" ht="24" customHeight="1">
      <c r="A234" s="578">
        <v>112</v>
      </c>
      <c r="B234" s="89" t="s">
        <v>923</v>
      </c>
      <c r="C234" s="107" t="s">
        <v>924</v>
      </c>
      <c r="D234" s="78" t="str">
        <f>P</f>
        <v>. . .</v>
      </c>
      <c r="E234" s="125">
        <f>TEClubrifiant</f>
        <v>0</v>
      </c>
      <c r="F234" s="163"/>
      <c r="G234" s="127" t="str">
        <f>P</f>
        <v>. . .</v>
      </c>
      <c r="H234" s="128" t="str">
        <f>P</f>
        <v>. . .</v>
      </c>
      <c r="I234" s="623">
        <f>VFHL</f>
        <v>22.87</v>
      </c>
      <c r="J234" s="78" t="s">
        <v>925</v>
      </c>
      <c r="K234" s="250">
        <f>ROUND(I234*TEClubrifiant,2)</f>
        <v>0.85</v>
      </c>
      <c r="L234" s="164"/>
      <c r="M234" s="177" t="s">
        <v>926</v>
      </c>
      <c r="N234" s="178"/>
      <c r="O234" s="602"/>
      <c r="P234" s="113" t="str">
        <f>P</f>
        <v>. . .</v>
      </c>
      <c r="Q234" s="180">
        <f>TVALUBMETRO</f>
        <v>4.649120000000001</v>
      </c>
      <c r="R234" s="181">
        <f>TVALUBCORSE</f>
        <v>3.0836000000000006</v>
      </c>
      <c r="S234" s="189"/>
      <c r="T234" s="9"/>
      <c r="U234" s="10"/>
      <c r="V234" s="60"/>
      <c r="W234" s="219">
        <v>5900</v>
      </c>
      <c r="X234" s="219"/>
      <c r="Y234" s="170">
        <v>9348</v>
      </c>
      <c r="Z234" s="170">
        <v>9181</v>
      </c>
      <c r="AA234" s="18" t="s">
        <v>927</v>
      </c>
      <c r="AB234" s="19"/>
      <c r="AC234" s="20"/>
      <c r="AD234" s="21"/>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34"/>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row>
    <row r="235" spans="1:92" s="588" customFormat="1" ht="12.75">
      <c r="A235" s="578"/>
      <c r="B235" s="89"/>
      <c r="C235" s="107" t="s">
        <v>928</v>
      </c>
      <c r="D235" s="78"/>
      <c r="E235" s="607"/>
      <c r="F235" s="163"/>
      <c r="G235" s="127"/>
      <c r="H235" s="128"/>
      <c r="I235" s="78"/>
      <c r="J235" s="78"/>
      <c r="K235" s="608"/>
      <c r="L235" s="164"/>
      <c r="M235" s="177"/>
      <c r="N235" s="178"/>
      <c r="O235" s="602"/>
      <c r="P235" s="113"/>
      <c r="Q235" s="180"/>
      <c r="R235" s="181"/>
      <c r="S235" s="189"/>
      <c r="T235" s="182"/>
      <c r="U235" s="183"/>
      <c r="V235" s="184"/>
      <c r="W235" s="185"/>
      <c r="X235" s="185"/>
      <c r="Y235" s="624">
        <v>9348</v>
      </c>
      <c r="Z235" s="557"/>
      <c r="AA235" s="624"/>
      <c r="AB235" s="582"/>
      <c r="AC235" s="583"/>
      <c r="AD235" s="584"/>
      <c r="AE235" s="585"/>
      <c r="AF235" s="585"/>
      <c r="AG235" s="585"/>
      <c r="AH235" s="585"/>
      <c r="AI235" s="585"/>
      <c r="AJ235" s="585"/>
      <c r="AK235" s="585"/>
      <c r="AL235" s="585"/>
      <c r="AM235" s="585"/>
      <c r="AN235" s="585"/>
      <c r="AO235" s="585"/>
      <c r="AP235" s="585"/>
      <c r="AQ235" s="585"/>
      <c r="AR235" s="585"/>
      <c r="AS235" s="585"/>
      <c r="AT235" s="585"/>
      <c r="AU235" s="585"/>
      <c r="AV235" s="585"/>
      <c r="AW235" s="585"/>
      <c r="AX235" s="585"/>
      <c r="AY235" s="585"/>
      <c r="AZ235" s="585"/>
      <c r="BA235" s="585"/>
      <c r="BB235" s="585"/>
      <c r="BC235" s="585"/>
      <c r="BD235" s="585"/>
      <c r="BE235" s="585"/>
      <c r="BF235" s="585"/>
      <c r="BG235" s="586"/>
      <c r="BH235" s="587"/>
      <c r="BI235" s="587"/>
      <c r="BJ235" s="587"/>
      <c r="BK235" s="587"/>
      <c r="BL235" s="587"/>
      <c r="BM235" s="587"/>
      <c r="BN235" s="587"/>
      <c r="BO235" s="587"/>
      <c r="BP235" s="587"/>
      <c r="BQ235" s="587"/>
      <c r="BR235" s="587"/>
      <c r="BS235" s="587"/>
      <c r="BT235" s="587"/>
      <c r="BU235" s="587"/>
      <c r="BV235" s="587"/>
      <c r="BW235" s="587"/>
      <c r="BX235" s="587"/>
      <c r="BY235" s="587"/>
      <c r="BZ235" s="587"/>
      <c r="CA235" s="587"/>
      <c r="CB235" s="587"/>
      <c r="CC235" s="587"/>
      <c r="CD235" s="587"/>
      <c r="CE235" s="587"/>
      <c r="CF235" s="587"/>
      <c r="CG235" s="587"/>
      <c r="CH235" s="587"/>
      <c r="CI235" s="587"/>
      <c r="CJ235" s="587"/>
      <c r="CK235" s="587"/>
      <c r="CL235" s="587"/>
      <c r="CM235" s="587"/>
      <c r="CN235" s="587"/>
    </row>
    <row r="236" spans="1:92" s="1" customFormat="1" ht="18.75">
      <c r="A236" s="599">
        <v>113</v>
      </c>
      <c r="B236" s="372" t="s">
        <v>929</v>
      </c>
      <c r="C236" s="601" t="s">
        <v>930</v>
      </c>
      <c r="D236" s="78" t="str">
        <f>P</f>
        <v>. . .</v>
      </c>
      <c r="E236" s="125">
        <f>TEClubrifiant</f>
        <v>0</v>
      </c>
      <c r="F236" s="163"/>
      <c r="G236" s="127" t="str">
        <f>P</f>
        <v>. . .</v>
      </c>
      <c r="H236" s="128" t="str">
        <f>P</f>
        <v>. . .</v>
      </c>
      <c r="I236" s="623">
        <f>VFHL</f>
        <v>22.87</v>
      </c>
      <c r="J236" s="78" t="s">
        <v>931</v>
      </c>
      <c r="K236" s="250">
        <f>ROUND(I236*TEClubrifiant,2)</f>
        <v>0.85</v>
      </c>
      <c r="L236" s="164"/>
      <c r="M236" s="177" t="s">
        <v>932</v>
      </c>
      <c r="N236" s="178"/>
      <c r="O236" s="602">
        <f>TGAP</f>
        <v>3.811</v>
      </c>
      <c r="P236" s="113" t="str">
        <f>P</f>
        <v>. . .</v>
      </c>
      <c r="Q236" s="180">
        <f>TVATGAPLUBMETRO</f>
        <v>5.396076</v>
      </c>
      <c r="R236" s="181">
        <f>TVATGAPLUBCORSE</f>
        <v>3.57903</v>
      </c>
      <c r="S236" s="482"/>
      <c r="T236" s="182">
        <v>5703</v>
      </c>
      <c r="U236" s="59" t="s">
        <v>933</v>
      </c>
      <c r="V236" s="11"/>
      <c r="W236" s="190">
        <v>5942</v>
      </c>
      <c r="X236" s="190"/>
      <c r="Y236" s="170"/>
      <c r="Z236" s="170"/>
      <c r="AA236" s="18"/>
      <c r="AB236" s="19"/>
      <c r="AC236" s="20"/>
      <c r="AD236" s="21"/>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34"/>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row>
    <row r="237" spans="1:92" s="603" customFormat="1" ht="12.75">
      <c r="A237" s="578">
        <v>114</v>
      </c>
      <c r="B237" s="317" t="s">
        <v>934</v>
      </c>
      <c r="C237" s="107" t="s">
        <v>935</v>
      </c>
      <c r="D237" s="78" t="str">
        <f>P</f>
        <v>. . .</v>
      </c>
      <c r="E237" s="125">
        <f>TEClubrifiant</f>
        <v>0</v>
      </c>
      <c r="F237" s="163"/>
      <c r="G237" s="127" t="str">
        <f>P</f>
        <v>. . .</v>
      </c>
      <c r="H237" s="128" t="str">
        <f>P</f>
        <v>. . .</v>
      </c>
      <c r="I237" s="623">
        <f>VFHL</f>
        <v>22.87</v>
      </c>
      <c r="J237" s="78" t="s">
        <v>936</v>
      </c>
      <c r="K237" s="250">
        <f>ROUND(I237*TEClubrifiant,2)</f>
        <v>0.85</v>
      </c>
      <c r="L237" s="164"/>
      <c r="M237" s="319" t="s">
        <v>937</v>
      </c>
      <c r="N237" s="320"/>
      <c r="O237" s="321"/>
      <c r="P237" s="113" t="str">
        <f>P</f>
        <v>. . .</v>
      </c>
      <c r="Q237" s="538">
        <f>TVALUBMETRO</f>
        <v>4.649120000000001</v>
      </c>
      <c r="R237" s="625">
        <f>TVALUBCORSE</f>
        <v>3.0836000000000006</v>
      </c>
      <c r="S237" s="626"/>
      <c r="T237" s="596"/>
      <c r="U237" s="597"/>
      <c r="V237" s="598"/>
      <c r="W237" s="627">
        <v>5900</v>
      </c>
      <c r="X237" s="627"/>
      <c r="Y237" s="170"/>
      <c r="Z237" s="170"/>
      <c r="AA237" s="18"/>
      <c r="AB237" s="19"/>
      <c r="AC237" s="20"/>
      <c r="AD237" s="21"/>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34"/>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row>
    <row r="238" spans="1:92" s="1" customFormat="1" ht="12.75">
      <c r="A238" s="578"/>
      <c r="B238" s="89"/>
      <c r="C238" s="107"/>
      <c r="D238" s="78"/>
      <c r="E238" s="125"/>
      <c r="F238" s="163"/>
      <c r="G238" s="127"/>
      <c r="H238" s="128"/>
      <c r="I238" s="78"/>
      <c r="J238" s="78"/>
      <c r="K238" s="250"/>
      <c r="L238" s="164"/>
      <c r="M238" s="177"/>
      <c r="N238" s="178"/>
      <c r="O238" s="179"/>
      <c r="P238" s="113"/>
      <c r="Q238" s="180"/>
      <c r="R238" s="181"/>
      <c r="S238" s="189"/>
      <c r="T238" s="628"/>
      <c r="U238" s="629"/>
      <c r="V238" s="60"/>
      <c r="W238" s="185"/>
      <c r="X238" s="185"/>
      <c r="Y238" s="170"/>
      <c r="Z238" s="170"/>
      <c r="AA238" s="18"/>
      <c r="AB238" s="19"/>
      <c r="AC238" s="20"/>
      <c r="AD238" s="21"/>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34"/>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row>
    <row r="239" spans="1:92" s="1" customFormat="1" ht="12.75">
      <c r="A239" s="578"/>
      <c r="B239" s="89"/>
      <c r="C239" s="630" t="s">
        <v>938</v>
      </c>
      <c r="D239" s="78"/>
      <c r="E239" s="125"/>
      <c r="F239" s="163"/>
      <c r="G239" s="127"/>
      <c r="H239" s="128"/>
      <c r="I239" s="78"/>
      <c r="J239" s="78"/>
      <c r="K239" s="250"/>
      <c r="L239" s="164"/>
      <c r="M239" s="177"/>
      <c r="N239" s="178"/>
      <c r="O239" s="179"/>
      <c r="P239" s="113"/>
      <c r="Q239" s="180"/>
      <c r="R239" s="181"/>
      <c r="S239" s="189"/>
      <c r="T239" s="628"/>
      <c r="U239" s="629"/>
      <c r="V239" s="60"/>
      <c r="W239" s="185"/>
      <c r="X239" s="185"/>
      <c r="Y239" s="170"/>
      <c r="Z239" s="170"/>
      <c r="AA239" s="18"/>
      <c r="AB239" s="19"/>
      <c r="AC239" s="20"/>
      <c r="AD239" s="21"/>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34"/>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row>
    <row r="240" spans="1:59" s="7" customFormat="1" ht="12.75">
      <c r="A240" s="578"/>
      <c r="B240" s="89"/>
      <c r="C240" s="107" t="s">
        <v>939</v>
      </c>
      <c r="D240" s="78"/>
      <c r="E240" s="125"/>
      <c r="F240" s="163"/>
      <c r="G240" s="127"/>
      <c r="H240" s="128"/>
      <c r="I240" s="78"/>
      <c r="J240" s="78"/>
      <c r="K240" s="250"/>
      <c r="L240" s="164"/>
      <c r="M240" s="177"/>
      <c r="N240" s="178"/>
      <c r="O240" s="179"/>
      <c r="P240" s="113"/>
      <c r="Q240" s="180"/>
      <c r="R240" s="181"/>
      <c r="S240" s="189"/>
      <c r="T240" s="628"/>
      <c r="U240" s="629"/>
      <c r="V240" s="60"/>
      <c r="W240" s="185"/>
      <c r="X240" s="185"/>
      <c r="Y240" s="170"/>
      <c r="Z240" s="170"/>
      <c r="AA240" s="18"/>
      <c r="AB240" s="19"/>
      <c r="AC240" s="20"/>
      <c r="AD240" s="21"/>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34"/>
    </row>
    <row r="241" spans="1:59" s="7" customFormat="1" ht="12.75">
      <c r="A241" s="578"/>
      <c r="B241" s="89"/>
      <c r="C241" s="107" t="s">
        <v>940</v>
      </c>
      <c r="D241" s="73"/>
      <c r="E241" s="631"/>
      <c r="F241" s="163"/>
      <c r="G241" s="127"/>
      <c r="H241" s="128"/>
      <c r="I241" s="78"/>
      <c r="J241" s="78"/>
      <c r="K241" s="252"/>
      <c r="L241" s="164"/>
      <c r="M241" s="177"/>
      <c r="N241" s="178"/>
      <c r="O241" s="179"/>
      <c r="P241" s="113"/>
      <c r="Q241" s="113"/>
      <c r="R241" s="193"/>
      <c r="S241" s="189"/>
      <c r="T241" s="628"/>
      <c r="U241" s="629"/>
      <c r="V241" s="60"/>
      <c r="W241" s="185"/>
      <c r="X241" s="185"/>
      <c r="Y241" s="170"/>
      <c r="Z241" s="170"/>
      <c r="AA241" s="18"/>
      <c r="AB241" s="19"/>
      <c r="AC241" s="20"/>
      <c r="AD241" s="21"/>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34"/>
    </row>
    <row r="242" spans="1:59" s="7" customFormat="1" ht="12.75">
      <c r="A242" s="599">
        <v>115</v>
      </c>
      <c r="B242" s="372" t="s">
        <v>941</v>
      </c>
      <c r="C242" s="107" t="s">
        <v>942</v>
      </c>
      <c r="D242" s="78"/>
      <c r="E242" s="631"/>
      <c r="F242" s="163"/>
      <c r="G242" s="217"/>
      <c r="H242" s="71"/>
      <c r="I242" s="78"/>
      <c r="J242" s="78"/>
      <c r="K242" s="250"/>
      <c r="L242" s="163"/>
      <c r="M242" s="177"/>
      <c r="N242" s="178"/>
      <c r="O242" s="602"/>
      <c r="P242" s="113"/>
      <c r="Q242" s="180"/>
      <c r="R242" s="181"/>
      <c r="S242" s="189"/>
      <c r="T242" s="182"/>
      <c r="U242" s="59"/>
      <c r="V242" s="60"/>
      <c r="W242" s="185"/>
      <c r="X242" s="185"/>
      <c r="Y242" s="312">
        <v>9337</v>
      </c>
      <c r="Z242" s="170"/>
      <c r="AA242" s="18"/>
      <c r="AB242" s="19"/>
      <c r="AC242" s="20"/>
      <c r="AD242" s="21"/>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34"/>
    </row>
    <row r="243" spans="1:92" s="1" customFormat="1" ht="12.75">
      <c r="A243" s="578"/>
      <c r="B243" s="89"/>
      <c r="C243" s="107" t="s">
        <v>943</v>
      </c>
      <c r="D243" s="73"/>
      <c r="E243" s="631"/>
      <c r="F243" s="163"/>
      <c r="G243" s="127"/>
      <c r="H243" s="128"/>
      <c r="I243" s="78"/>
      <c r="J243" s="78"/>
      <c r="K243" s="250"/>
      <c r="L243" s="164"/>
      <c r="M243" s="177"/>
      <c r="N243" s="178"/>
      <c r="O243" s="602"/>
      <c r="P243" s="113"/>
      <c r="Q243" s="180"/>
      <c r="R243" s="181"/>
      <c r="S243" s="189"/>
      <c r="T243" s="628"/>
      <c r="U243" s="629"/>
      <c r="V243" s="60"/>
      <c r="W243" s="185"/>
      <c r="X243" s="185"/>
      <c r="Y243" s="170">
        <v>4004</v>
      </c>
      <c r="Z243" s="170">
        <v>9348</v>
      </c>
      <c r="AA243" s="18"/>
      <c r="AB243" s="19"/>
      <c r="AC243" s="20"/>
      <c r="AD243" s="21"/>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34"/>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row>
    <row r="244" spans="1:92" s="1" customFormat="1" ht="12.75">
      <c r="A244" s="578"/>
      <c r="B244" s="89"/>
      <c r="C244" s="107" t="s">
        <v>944</v>
      </c>
      <c r="D244" s="73" t="s">
        <v>945</v>
      </c>
      <c r="E244" s="631">
        <v>0.035</v>
      </c>
      <c r="F244" s="163"/>
      <c r="G244" s="127"/>
      <c r="H244" s="128"/>
      <c r="I244" s="78">
        <f>VFFHS</f>
        <v>14.19</v>
      </c>
      <c r="J244" s="78" t="s">
        <v>946</v>
      </c>
      <c r="K244" s="250">
        <f>ROUND(I244*TEChuilelourde,2)</f>
        <v>0.5</v>
      </c>
      <c r="L244" s="164"/>
      <c r="M244" s="177" t="s">
        <v>947</v>
      </c>
      <c r="N244" s="178"/>
      <c r="O244" s="602" t="str">
        <f>P</f>
        <v>. . .</v>
      </c>
      <c r="P244" s="113" t="s">
        <v>948</v>
      </c>
      <c r="Q244" s="180">
        <f>SUM(I244:P244)*19.6%</f>
        <v>2.87924</v>
      </c>
      <c r="R244" s="181">
        <f>SUM(I244:P244)*13%</f>
        <v>1.9097</v>
      </c>
      <c r="S244" s="189"/>
      <c r="T244" s="628"/>
      <c r="U244" s="629"/>
      <c r="V244" s="60"/>
      <c r="W244" s="185" t="s">
        <v>949</v>
      </c>
      <c r="X244" s="185"/>
      <c r="Y244" s="170"/>
      <c r="Z244" s="170"/>
      <c r="AA244" s="18"/>
      <c r="AB244" s="19"/>
      <c r="AC244" s="20"/>
      <c r="AD244" s="21"/>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34"/>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row>
    <row r="245" spans="1:92" s="1" customFormat="1" ht="12.75">
      <c r="A245" s="578">
        <v>116</v>
      </c>
      <c r="B245" s="89" t="s">
        <v>950</v>
      </c>
      <c r="C245" s="107" t="s">
        <v>951</v>
      </c>
      <c r="D245" s="73" t="s">
        <v>952</v>
      </c>
      <c r="E245" s="631">
        <v>0.035</v>
      </c>
      <c r="F245" s="163"/>
      <c r="G245" s="127"/>
      <c r="H245" s="128"/>
      <c r="I245" s="78">
        <f>VFFHS</f>
        <v>14.19</v>
      </c>
      <c r="J245" s="78" t="s">
        <v>953</v>
      </c>
      <c r="K245" s="250">
        <f>ROUND(I245*TEChuilelourde,2)</f>
        <v>0.5</v>
      </c>
      <c r="L245" s="164"/>
      <c r="M245" s="177" t="str">
        <f>"(9)"</f>
        <v>(9)</v>
      </c>
      <c r="N245" s="178"/>
      <c r="O245" s="602" t="str">
        <f>P</f>
        <v>. . .</v>
      </c>
      <c r="P245" s="113" t="s">
        <v>954</v>
      </c>
      <c r="Q245" s="180">
        <f>SUM(I245:P245)*19.6%</f>
        <v>2.87924</v>
      </c>
      <c r="R245" s="181">
        <f>SUM(I245:P245)*13%</f>
        <v>1.9097</v>
      </c>
      <c r="S245" s="189"/>
      <c r="T245" s="628"/>
      <c r="U245" s="629"/>
      <c r="V245" s="60"/>
      <c r="W245" s="185" t="s">
        <v>955</v>
      </c>
      <c r="X245" s="185"/>
      <c r="Y245" s="170"/>
      <c r="Z245" s="170"/>
      <c r="AA245" s="18"/>
      <c r="AB245" s="19"/>
      <c r="AC245" s="20"/>
      <c r="AD245" s="21"/>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34"/>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row>
    <row r="246" spans="1:92" s="1" customFormat="1" ht="12.75">
      <c r="A246" s="578"/>
      <c r="B246" s="89"/>
      <c r="C246" s="107" t="s">
        <v>956</v>
      </c>
      <c r="D246" s="73"/>
      <c r="E246" s="631"/>
      <c r="F246" s="163"/>
      <c r="G246" s="127"/>
      <c r="H246" s="128"/>
      <c r="I246" s="78"/>
      <c r="J246" s="78"/>
      <c r="K246" s="252"/>
      <c r="L246" s="164"/>
      <c r="M246" s="177"/>
      <c r="N246" s="178"/>
      <c r="O246" s="602"/>
      <c r="P246" s="113"/>
      <c r="Q246" s="180"/>
      <c r="R246" s="181"/>
      <c r="S246" s="189"/>
      <c r="T246" s="628"/>
      <c r="U246" s="629"/>
      <c r="V246" s="60"/>
      <c r="W246" s="185"/>
      <c r="X246" s="185"/>
      <c r="Y246" s="170"/>
      <c r="Z246" s="170"/>
      <c r="AA246" s="18"/>
      <c r="AB246" s="19"/>
      <c r="AC246" s="20"/>
      <c r="AD246" s="21"/>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34"/>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row>
    <row r="247" spans="1:92" s="1" customFormat="1" ht="12.75">
      <c r="A247" s="578">
        <v>117</v>
      </c>
      <c r="B247" s="372" t="s">
        <v>957</v>
      </c>
      <c r="C247" s="107" t="s">
        <v>958</v>
      </c>
      <c r="D247" s="73"/>
      <c r="E247" s="631"/>
      <c r="F247" s="163"/>
      <c r="G247" s="127"/>
      <c r="H247" s="128"/>
      <c r="I247" s="78"/>
      <c r="J247" s="78"/>
      <c r="K247" s="250"/>
      <c r="L247" s="164"/>
      <c r="M247" s="177"/>
      <c r="N247" s="178"/>
      <c r="O247" s="179"/>
      <c r="P247" s="113"/>
      <c r="Q247" s="180"/>
      <c r="R247" s="181"/>
      <c r="S247" s="189"/>
      <c r="T247" s="182"/>
      <c r="U247" s="59"/>
      <c r="V247" s="60"/>
      <c r="W247" s="185"/>
      <c r="X247" s="185"/>
      <c r="Y247" s="312">
        <v>9337</v>
      </c>
      <c r="Z247" s="170"/>
      <c r="AA247" s="18"/>
      <c r="AB247" s="19"/>
      <c r="AC247" s="20"/>
      <c r="AD247" s="21"/>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34"/>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row>
    <row r="248" spans="1:92" s="1" customFormat="1" ht="12.75">
      <c r="A248" s="578"/>
      <c r="B248" s="89"/>
      <c r="C248" s="107" t="s">
        <v>959</v>
      </c>
      <c r="D248" s="73"/>
      <c r="E248" s="631"/>
      <c r="F248" s="163"/>
      <c r="G248" s="127"/>
      <c r="H248" s="128"/>
      <c r="I248" s="78"/>
      <c r="J248" s="78"/>
      <c r="K248" s="250"/>
      <c r="L248" s="164"/>
      <c r="M248" s="177"/>
      <c r="N248" s="178"/>
      <c r="O248" s="179"/>
      <c r="P248" s="113"/>
      <c r="Q248" s="180"/>
      <c r="R248" s="181"/>
      <c r="S248" s="189"/>
      <c r="T248" s="628"/>
      <c r="U248" s="629"/>
      <c r="V248" s="60"/>
      <c r="W248" s="185"/>
      <c r="X248" s="185"/>
      <c r="Y248" s="170">
        <v>4004</v>
      </c>
      <c r="Z248" s="170">
        <v>9348</v>
      </c>
      <c r="AA248" s="18"/>
      <c r="AB248" s="19"/>
      <c r="AC248" s="20"/>
      <c r="AD248" s="21"/>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34"/>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row>
    <row r="249" spans="1:92" s="603" customFormat="1" ht="12.75">
      <c r="A249" s="578"/>
      <c r="B249" s="89"/>
      <c r="C249" s="107" t="s">
        <v>960</v>
      </c>
      <c r="D249" s="73" t="s">
        <v>961</v>
      </c>
      <c r="E249" s="631">
        <v>0.035</v>
      </c>
      <c r="F249" s="163"/>
      <c r="G249" s="127"/>
      <c r="H249" s="128"/>
      <c r="I249" s="78">
        <f>VFFHS</f>
        <v>14.19</v>
      </c>
      <c r="J249" s="78" t="s">
        <v>962</v>
      </c>
      <c r="K249" s="250">
        <f>ROUND(I249*TEChuilelourde,2)</f>
        <v>0.5</v>
      </c>
      <c r="L249" s="164"/>
      <c r="M249" s="177" t="s">
        <v>963</v>
      </c>
      <c r="N249" s="178"/>
      <c r="O249" s="179" t="str">
        <f>P</f>
        <v>. . .</v>
      </c>
      <c r="P249" s="113" t="s">
        <v>964</v>
      </c>
      <c r="Q249" s="180">
        <f>SUM(I249:P249)*19.6%</f>
        <v>2.87924</v>
      </c>
      <c r="R249" s="181">
        <f>SUM(I249:P249)*13%</f>
        <v>1.9097</v>
      </c>
      <c r="S249" s="189"/>
      <c r="T249" s="628"/>
      <c r="U249" s="629"/>
      <c r="V249" s="60"/>
      <c r="W249" s="185" t="s">
        <v>965</v>
      </c>
      <c r="X249" s="185"/>
      <c r="Y249" s="170"/>
      <c r="Z249" s="170"/>
      <c r="AA249" s="170"/>
      <c r="AB249" s="19"/>
      <c r="AC249" s="20"/>
      <c r="AD249" s="21"/>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34"/>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row>
    <row r="250" spans="1:92" s="1" customFormat="1" ht="12.75">
      <c r="A250" s="578">
        <v>118</v>
      </c>
      <c r="B250" s="89" t="s">
        <v>966</v>
      </c>
      <c r="C250" s="107" t="s">
        <v>967</v>
      </c>
      <c r="D250" s="73" t="s">
        <v>968</v>
      </c>
      <c r="E250" s="631">
        <v>0.035</v>
      </c>
      <c r="F250" s="163"/>
      <c r="G250" s="127"/>
      <c r="H250" s="128"/>
      <c r="I250" s="78">
        <f>VFFHS</f>
        <v>14.19</v>
      </c>
      <c r="J250" s="78" t="s">
        <v>969</v>
      </c>
      <c r="K250" s="250">
        <f>ROUND(I250*TEChuilelourde,2)</f>
        <v>0.5</v>
      </c>
      <c r="L250" s="164"/>
      <c r="M250" s="177" t="str">
        <f>"(9)"</f>
        <v>(9)</v>
      </c>
      <c r="N250" s="178"/>
      <c r="O250" s="179" t="str">
        <f>P</f>
        <v>. . .</v>
      </c>
      <c r="P250" s="113" t="s">
        <v>970</v>
      </c>
      <c r="Q250" s="180">
        <f>SUM(I250:P250)*19.6%</f>
        <v>2.87924</v>
      </c>
      <c r="R250" s="181">
        <f>SUM(I250:P250)*13%</f>
        <v>1.9097</v>
      </c>
      <c r="S250" s="189"/>
      <c r="T250" s="628"/>
      <c r="U250" s="629"/>
      <c r="V250" s="60"/>
      <c r="W250" s="185" t="s">
        <v>971</v>
      </c>
      <c r="X250" s="185"/>
      <c r="Y250" s="170"/>
      <c r="Z250" s="170"/>
      <c r="AA250" s="170"/>
      <c r="AB250" s="19"/>
      <c r="AC250" s="20"/>
      <c r="AD250" s="297"/>
      <c r="AE250" s="256"/>
      <c r="AF250" s="256"/>
      <c r="AG250" s="256"/>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34"/>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row>
    <row r="251" spans="1:92" s="1" customFormat="1" ht="12.75">
      <c r="A251" s="578"/>
      <c r="B251" s="632"/>
      <c r="C251" s="633"/>
      <c r="D251" s="73"/>
      <c r="E251" s="125"/>
      <c r="F251" s="163"/>
      <c r="G251" s="127"/>
      <c r="H251" s="128"/>
      <c r="I251" s="78"/>
      <c r="J251" s="78"/>
      <c r="K251" s="318"/>
      <c r="L251" s="164"/>
      <c r="M251" s="177"/>
      <c r="N251" s="178"/>
      <c r="O251" s="179"/>
      <c r="P251" s="113"/>
      <c r="Q251" s="180"/>
      <c r="R251" s="181"/>
      <c r="S251" s="189"/>
      <c r="T251" s="182"/>
      <c r="U251" s="183"/>
      <c r="V251" s="184"/>
      <c r="W251" s="185"/>
      <c r="X251" s="185"/>
      <c r="Y251" s="276"/>
      <c r="Z251" s="276"/>
      <c r="AA251" s="170"/>
      <c r="AB251" s="19"/>
      <c r="AC251" s="20"/>
      <c r="AD251" s="297"/>
      <c r="AE251" s="256"/>
      <c r="AF251" s="256"/>
      <c r="AG251" s="256"/>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34"/>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row>
    <row r="252" spans="1:92" s="1" customFormat="1" ht="12.75">
      <c r="A252" s="578"/>
      <c r="B252" s="634"/>
      <c r="C252" s="635" t="s">
        <v>972</v>
      </c>
      <c r="D252" s="73"/>
      <c r="E252" s="125"/>
      <c r="F252" s="163"/>
      <c r="G252" s="127"/>
      <c r="H252" s="128"/>
      <c r="I252" s="78"/>
      <c r="J252" s="78"/>
      <c r="K252" s="164"/>
      <c r="L252" s="164"/>
      <c r="M252" s="177"/>
      <c r="N252" s="178"/>
      <c r="O252" s="179"/>
      <c r="P252" s="113"/>
      <c r="Q252" s="168"/>
      <c r="R252" s="169"/>
      <c r="S252" s="482"/>
      <c r="T252" s="182"/>
      <c r="U252" s="183"/>
      <c r="V252" s="184"/>
      <c r="W252" s="185"/>
      <c r="X252" s="185"/>
      <c r="Y252" s="18"/>
      <c r="Z252" s="18"/>
      <c r="AA252" s="170"/>
      <c r="AB252" s="19"/>
      <c r="AC252" s="20"/>
      <c r="AD252" s="297"/>
      <c r="AE252" s="256"/>
      <c r="AF252" s="256"/>
      <c r="AG252" s="256"/>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34"/>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row>
    <row r="253" spans="1:92" s="1" customFormat="1" ht="12.75">
      <c r="A253" s="578"/>
      <c r="B253" s="632"/>
      <c r="C253" s="636" t="s">
        <v>973</v>
      </c>
      <c r="D253" s="302"/>
      <c r="E253" s="303"/>
      <c r="F253" s="34"/>
      <c r="G253" s="304"/>
      <c r="H253" s="304"/>
      <c r="I253" s="305"/>
      <c r="J253" s="305"/>
      <c r="K253" s="306"/>
      <c r="L253" s="306"/>
      <c r="M253" s="307"/>
      <c r="N253" s="308"/>
      <c r="O253" s="309"/>
      <c r="P253" s="305"/>
      <c r="Q253" s="113"/>
      <c r="R253" s="193"/>
      <c r="S253" s="189"/>
      <c r="T253" s="279"/>
      <c r="U253" s="280"/>
      <c r="V253" s="281"/>
      <c r="W253" s="282"/>
      <c r="X253" s="282"/>
      <c r="Y253" s="35"/>
      <c r="Z253" s="35"/>
      <c r="AA253" s="170"/>
      <c r="AB253" s="19"/>
      <c r="AC253" s="20"/>
      <c r="AD253" s="297"/>
      <c r="AE253" s="256"/>
      <c r="AF253" s="256"/>
      <c r="AG253" s="256"/>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34"/>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row>
    <row r="254" spans="1:92" s="1" customFormat="1" ht="12.75">
      <c r="A254" s="578"/>
      <c r="B254" s="632"/>
      <c r="C254" s="633" t="s">
        <v>974</v>
      </c>
      <c r="D254" s="302"/>
      <c r="E254" s="303"/>
      <c r="F254" s="34"/>
      <c r="G254" s="304"/>
      <c r="H254" s="304"/>
      <c r="I254" s="305"/>
      <c r="J254" s="305"/>
      <c r="K254" s="306"/>
      <c r="L254" s="306"/>
      <c r="M254" s="307"/>
      <c r="N254" s="308"/>
      <c r="O254" s="309"/>
      <c r="P254" s="305"/>
      <c r="Q254" s="310"/>
      <c r="R254" s="311"/>
      <c r="S254" s="189"/>
      <c r="T254" s="58"/>
      <c r="U254" s="59"/>
      <c r="V254" s="60"/>
      <c r="W254" s="61"/>
      <c r="X254" s="61"/>
      <c r="Y254" s="13">
        <v>4004</v>
      </c>
      <c r="Z254" s="13">
        <v>9301</v>
      </c>
      <c r="AA254" s="276"/>
      <c r="AB254" s="19"/>
      <c r="AC254" s="20"/>
      <c r="AD254" s="21"/>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34"/>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row>
    <row r="255" spans="1:92" s="1" customFormat="1" ht="12.75">
      <c r="A255" s="578"/>
      <c r="B255" s="632"/>
      <c r="C255" s="637" t="s">
        <v>975</v>
      </c>
      <c r="D255" s="302"/>
      <c r="E255" s="303"/>
      <c r="F255" s="34"/>
      <c r="G255" s="304"/>
      <c r="H255" s="304"/>
      <c r="I255" s="305"/>
      <c r="J255" s="305"/>
      <c r="K255" s="306"/>
      <c r="L255" s="306"/>
      <c r="M255" s="307"/>
      <c r="N255" s="308"/>
      <c r="O255" s="309"/>
      <c r="P255" s="305"/>
      <c r="Q255" s="310"/>
      <c r="R255" s="311"/>
      <c r="S255" s="189"/>
      <c r="T255" s="85"/>
      <c r="U255" s="86"/>
      <c r="V255" s="87"/>
      <c r="W255" s="88"/>
      <c r="X255" s="88"/>
      <c r="Y255" s="35">
        <v>9301</v>
      </c>
      <c r="Z255" s="35"/>
      <c r="AA255" s="13"/>
      <c r="AB255" s="19"/>
      <c r="AC255" s="20"/>
      <c r="AD255" s="21"/>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34"/>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row>
    <row r="256" spans="1:92" s="1" customFormat="1" ht="12.75">
      <c r="A256" s="578">
        <v>119</v>
      </c>
      <c r="B256" s="632" t="s">
        <v>976</v>
      </c>
      <c r="C256" s="633" t="s">
        <v>977</v>
      </c>
      <c r="D256" s="73" t="s">
        <v>978</v>
      </c>
      <c r="E256" s="631">
        <v>0.08</v>
      </c>
      <c r="F256" s="34"/>
      <c r="G256" s="304"/>
      <c r="H256" s="304"/>
      <c r="I256" s="78" t="str">
        <f>R</f>
        <v>Réelle</v>
      </c>
      <c r="J256" s="305"/>
      <c r="K256" s="638">
        <v>0.08</v>
      </c>
      <c r="L256" s="306"/>
      <c r="M256" s="177" t="str">
        <f>"(9)"</f>
        <v>(9)</v>
      </c>
      <c r="N256" s="178"/>
      <c r="O256" s="179" t="str">
        <f>P</f>
        <v>. . .</v>
      </c>
      <c r="P256" s="113" t="s">
        <v>979</v>
      </c>
      <c r="Q256" s="113" t="str">
        <f>VI</f>
        <v>(25)</v>
      </c>
      <c r="R256" s="193" t="str">
        <f>VI</f>
        <v>(25)</v>
      </c>
      <c r="S256" s="189"/>
      <c r="T256" s="9"/>
      <c r="U256" s="10"/>
      <c r="V256" s="11"/>
      <c r="W256" s="12" t="str">
        <f>t</f>
        <v>TVO</v>
      </c>
      <c r="X256" s="12"/>
      <c r="Y256" s="35"/>
      <c r="Z256" s="35"/>
      <c r="AA256" s="13"/>
      <c r="AB256" s="19"/>
      <c r="AC256" s="20"/>
      <c r="AD256" s="21"/>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34"/>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row>
    <row r="257" spans="1:92" s="1" customFormat="1" ht="12.75">
      <c r="A257" s="578">
        <v>120</v>
      </c>
      <c r="B257" s="632" t="s">
        <v>980</v>
      </c>
      <c r="C257" s="633" t="s">
        <v>981</v>
      </c>
      <c r="D257" s="73" t="s">
        <v>982</v>
      </c>
      <c r="E257" s="125" t="s">
        <v>983</v>
      </c>
      <c r="F257" s="34"/>
      <c r="G257" s="304"/>
      <c r="H257" s="304"/>
      <c r="I257" s="78" t="str">
        <f>R</f>
        <v>Réelle</v>
      </c>
      <c r="J257" s="305"/>
      <c r="K257" s="252" t="s">
        <v>984</v>
      </c>
      <c r="L257" s="306"/>
      <c r="M257" s="177" t="s">
        <v>985</v>
      </c>
      <c r="N257" s="178"/>
      <c r="O257" s="179" t="str">
        <f>P</f>
        <v>. . .</v>
      </c>
      <c r="P257" s="113" t="s">
        <v>986</v>
      </c>
      <c r="Q257" s="113" t="str">
        <f>VI</f>
        <v>(25)</v>
      </c>
      <c r="R257" s="193" t="str">
        <f>VI</f>
        <v>(25)</v>
      </c>
      <c r="S257" s="57"/>
      <c r="T257" s="9"/>
      <c r="U257" s="10"/>
      <c r="V257" s="11"/>
      <c r="W257" s="88" t="str">
        <f>t</f>
        <v>TVO</v>
      </c>
      <c r="X257" s="88"/>
      <c r="Y257" s="35">
        <v>9052</v>
      </c>
      <c r="Z257" s="35">
        <v>9308</v>
      </c>
      <c r="AA257" s="35">
        <v>9301</v>
      </c>
      <c r="AB257" s="289"/>
      <c r="AC257" s="20"/>
      <c r="AD257" s="21"/>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34"/>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row>
    <row r="258" spans="1:92" s="1" customFormat="1" ht="12.75">
      <c r="A258" s="578"/>
      <c r="B258" s="632"/>
      <c r="C258" s="637" t="s">
        <v>987</v>
      </c>
      <c r="D258" s="302"/>
      <c r="E258" s="303"/>
      <c r="F258" s="34"/>
      <c r="G258" s="304"/>
      <c r="H258" s="304"/>
      <c r="I258" s="305"/>
      <c r="J258" s="305"/>
      <c r="K258" s="306"/>
      <c r="L258" s="306"/>
      <c r="M258" s="307"/>
      <c r="N258" s="308"/>
      <c r="O258" s="309"/>
      <c r="P258" s="305"/>
      <c r="Q258" s="310"/>
      <c r="R258" s="311"/>
      <c r="S258" s="84"/>
      <c r="T258" s="85"/>
      <c r="U258" s="86"/>
      <c r="V258" s="87"/>
      <c r="W258" s="88"/>
      <c r="X258" s="88"/>
      <c r="Y258" s="13"/>
      <c r="Z258" s="13"/>
      <c r="AA258" s="35"/>
      <c r="AB258" s="19"/>
      <c r="AC258" s="20"/>
      <c r="AD258" s="21"/>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34"/>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row>
    <row r="259" spans="1:92" s="1" customFormat="1" ht="12.75">
      <c r="A259" s="578">
        <v>121</v>
      </c>
      <c r="B259" s="639" t="s">
        <v>988</v>
      </c>
      <c r="C259" s="633" t="s">
        <v>989</v>
      </c>
      <c r="D259" s="73" t="s">
        <v>990</v>
      </c>
      <c r="E259" s="125" t="s">
        <v>991</v>
      </c>
      <c r="F259" s="163"/>
      <c r="G259" s="127" t="s">
        <v>992</v>
      </c>
      <c r="H259" s="128" t="s">
        <v>993</v>
      </c>
      <c r="I259" s="78" t="str">
        <f>R</f>
        <v>Réelle</v>
      </c>
      <c r="J259" s="78" t="s">
        <v>994</v>
      </c>
      <c r="K259" s="252" t="s">
        <v>995</v>
      </c>
      <c r="L259" s="164"/>
      <c r="M259" s="177" t="str">
        <f>"(3)"</f>
        <v>(3)</v>
      </c>
      <c r="N259" s="178"/>
      <c r="O259" s="97" t="str">
        <f>P</f>
        <v>. . .</v>
      </c>
      <c r="P259" s="78" t="str">
        <f>"(3)"</f>
        <v>(3)</v>
      </c>
      <c r="Q259" s="113" t="str">
        <f>"(3)"</f>
        <v>(3)</v>
      </c>
      <c r="R259" s="193" t="str">
        <f>"(3)"</f>
        <v>(3)</v>
      </c>
      <c r="S259" s="388"/>
      <c r="T259" s="9"/>
      <c r="U259" s="10"/>
      <c r="V259" s="11"/>
      <c r="W259" s="88" t="str">
        <f>t</f>
        <v>TVO</v>
      </c>
      <c r="X259" s="88">
        <v>5930</v>
      </c>
      <c r="Y259" s="35">
        <v>9052</v>
      </c>
      <c r="Z259" s="35">
        <v>9308</v>
      </c>
      <c r="AA259" s="35">
        <v>9301</v>
      </c>
      <c r="AB259" s="19"/>
      <c r="AC259" s="20"/>
      <c r="AD259" s="21"/>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34"/>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row>
    <row r="260" spans="1:92" s="603" customFormat="1" ht="12.75">
      <c r="A260" s="578">
        <v>122</v>
      </c>
      <c r="B260" s="639" t="s">
        <v>996</v>
      </c>
      <c r="C260" s="633" t="s">
        <v>997</v>
      </c>
      <c r="D260" s="302"/>
      <c r="E260" s="303"/>
      <c r="F260" s="34"/>
      <c r="G260" s="304"/>
      <c r="H260" s="304"/>
      <c r="I260" s="305"/>
      <c r="J260" s="305"/>
      <c r="K260" s="306"/>
      <c r="L260" s="306"/>
      <c r="M260" s="307"/>
      <c r="N260" s="308"/>
      <c r="O260" s="309"/>
      <c r="P260" s="305"/>
      <c r="Q260" s="310"/>
      <c r="R260" s="311"/>
      <c r="S260" s="388"/>
      <c r="T260" s="404"/>
      <c r="U260" s="405"/>
      <c r="V260" s="11"/>
      <c r="W260" s="12"/>
      <c r="X260" s="12"/>
      <c r="Y260" s="13"/>
      <c r="Z260" s="13"/>
      <c r="AA260" s="13"/>
      <c r="AB260" s="19"/>
      <c r="AC260" s="20"/>
      <c r="AD260" s="21"/>
      <c r="AE260" s="22"/>
      <c r="AF260" s="22"/>
      <c r="AG260" s="22"/>
      <c r="AH260" s="22"/>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34"/>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row>
    <row r="261" spans="1:92" s="1" customFormat="1" ht="12.75">
      <c r="A261" s="578"/>
      <c r="B261" s="632"/>
      <c r="C261" s="633" t="s">
        <v>998</v>
      </c>
      <c r="D261" s="73" t="s">
        <v>999</v>
      </c>
      <c r="E261" s="125" t="s">
        <v>1000</v>
      </c>
      <c r="F261" s="163"/>
      <c r="G261" s="127" t="s">
        <v>1001</v>
      </c>
      <c r="H261" s="128" t="s">
        <v>1002</v>
      </c>
      <c r="I261" s="78" t="str">
        <f>R</f>
        <v>Réelle</v>
      </c>
      <c r="J261" s="78" t="s">
        <v>1003</v>
      </c>
      <c r="K261" s="252" t="s">
        <v>1004</v>
      </c>
      <c r="L261" s="164"/>
      <c r="M261" s="177" t="str">
        <f>"(3)"</f>
        <v>(3)</v>
      </c>
      <c r="N261" s="178"/>
      <c r="O261" s="97" t="str">
        <f>P</f>
        <v>. . .</v>
      </c>
      <c r="P261" s="78" t="str">
        <f>"(3)"</f>
        <v>(3)</v>
      </c>
      <c r="Q261" s="113" t="str">
        <f>"(3)"</f>
        <v>(3)</v>
      </c>
      <c r="R261" s="193" t="str">
        <f>"(3)"</f>
        <v>(3)</v>
      </c>
      <c r="S261" s="388"/>
      <c r="T261" s="9"/>
      <c r="U261" s="10"/>
      <c r="V261" s="11"/>
      <c r="W261" s="88" t="str">
        <f>t</f>
        <v>TVO</v>
      </c>
      <c r="X261" s="88">
        <v>5930</v>
      </c>
      <c r="Y261" s="35"/>
      <c r="Z261" s="35"/>
      <c r="AA261" s="35"/>
      <c r="AB261" s="19"/>
      <c r="AC261" s="19"/>
      <c r="AD261" s="21"/>
      <c r="AE261" s="22"/>
      <c r="AF261" s="22"/>
      <c r="AG261" s="22"/>
      <c r="AH261" s="22"/>
      <c r="AI261" s="256"/>
      <c r="AJ261" s="256"/>
      <c r="AK261" s="256"/>
      <c r="AL261" s="256"/>
      <c r="AM261" s="256"/>
      <c r="AN261" s="256"/>
      <c r="AO261" s="256"/>
      <c r="AP261" s="256"/>
      <c r="AQ261" s="256"/>
      <c r="AR261" s="256"/>
      <c r="AS261" s="256"/>
      <c r="AT261" s="256"/>
      <c r="AU261" s="256"/>
      <c r="AV261" s="256"/>
      <c r="AW261" s="256"/>
      <c r="AX261" s="256"/>
      <c r="AY261" s="256"/>
      <c r="AZ261" s="256"/>
      <c r="BA261" s="256"/>
      <c r="BB261" s="256"/>
      <c r="BC261" s="256"/>
      <c r="BD261" s="256"/>
      <c r="BE261" s="256"/>
      <c r="BF261" s="256"/>
      <c r="BG261" s="34"/>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row>
    <row r="262" spans="1:92" s="1" customFormat="1" ht="12.75">
      <c r="A262" s="578"/>
      <c r="B262" s="632"/>
      <c r="C262" s="633" t="s">
        <v>1005</v>
      </c>
      <c r="D262" s="302"/>
      <c r="E262" s="303"/>
      <c r="F262" s="34"/>
      <c r="G262" s="304"/>
      <c r="H262" s="304"/>
      <c r="I262" s="305"/>
      <c r="J262" s="305"/>
      <c r="K262" s="306"/>
      <c r="L262" s="306"/>
      <c r="M262" s="307"/>
      <c r="N262" s="308"/>
      <c r="O262" s="309"/>
      <c r="P262" s="305"/>
      <c r="Q262" s="310"/>
      <c r="R262" s="311"/>
      <c r="S262" s="199"/>
      <c r="T262" s="404"/>
      <c r="U262" s="405"/>
      <c r="V262" s="11"/>
      <c r="W262" s="12"/>
      <c r="X262" s="12"/>
      <c r="Y262" s="13">
        <v>9306</v>
      </c>
      <c r="Z262" s="13">
        <v>9308</v>
      </c>
      <c r="AA262" s="13">
        <v>9053</v>
      </c>
      <c r="AB262" s="289"/>
      <c r="AC262" s="20"/>
      <c r="AD262" s="21"/>
      <c r="AE262" s="22"/>
      <c r="AF262" s="22"/>
      <c r="AG262" s="22"/>
      <c r="AH262" s="22"/>
      <c r="AI262" s="256"/>
      <c r="AJ262" s="256"/>
      <c r="AK262" s="256"/>
      <c r="AL262" s="256"/>
      <c r="AM262" s="256"/>
      <c r="AN262" s="256"/>
      <c r="AO262" s="256"/>
      <c r="AP262" s="256"/>
      <c r="AQ262" s="256"/>
      <c r="AR262" s="256"/>
      <c r="AS262" s="256"/>
      <c r="AT262" s="256"/>
      <c r="AU262" s="256"/>
      <c r="AV262" s="256"/>
      <c r="AW262" s="256"/>
      <c r="AX262" s="256"/>
      <c r="AY262" s="256"/>
      <c r="AZ262" s="256"/>
      <c r="BA262" s="256"/>
      <c r="BB262" s="256"/>
      <c r="BC262" s="256"/>
      <c r="BD262" s="256"/>
      <c r="BE262" s="256"/>
      <c r="BF262" s="256"/>
      <c r="BG262" s="34"/>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row>
    <row r="263" spans="1:92" s="1" customFormat="1" ht="12.75">
      <c r="A263" s="578"/>
      <c r="B263" s="632"/>
      <c r="C263" s="633" t="s">
        <v>1006</v>
      </c>
      <c r="D263" s="302"/>
      <c r="E263" s="303"/>
      <c r="F263" s="34"/>
      <c r="G263" s="304"/>
      <c r="H263" s="304"/>
      <c r="I263" s="305"/>
      <c r="J263" s="305"/>
      <c r="K263" s="306"/>
      <c r="L263" s="306"/>
      <c r="M263" s="307"/>
      <c r="N263" s="308"/>
      <c r="O263" s="309"/>
      <c r="P263" s="305"/>
      <c r="Q263" s="310"/>
      <c r="R263" s="311"/>
      <c r="S263" s="199"/>
      <c r="T263" s="85"/>
      <c r="U263" s="86"/>
      <c r="V263" s="87"/>
      <c r="W263" s="88"/>
      <c r="X263" s="88"/>
      <c r="Y263" s="13">
        <v>9306</v>
      </c>
      <c r="Z263" s="13">
        <v>9308</v>
      </c>
      <c r="AA263" s="13">
        <v>9301</v>
      </c>
      <c r="AB263" s="19"/>
      <c r="AC263" s="20"/>
      <c r="AD263" s="21"/>
      <c r="AE263" s="22"/>
      <c r="AF263" s="22"/>
      <c r="AG263" s="22"/>
      <c r="AH263" s="22"/>
      <c r="AI263" s="256"/>
      <c r="AJ263" s="256"/>
      <c r="AK263" s="256"/>
      <c r="AL263" s="256"/>
      <c r="AM263" s="256"/>
      <c r="AN263" s="256"/>
      <c r="AO263" s="256"/>
      <c r="AP263" s="256"/>
      <c r="AQ263" s="256"/>
      <c r="AR263" s="256"/>
      <c r="AS263" s="256"/>
      <c r="AT263" s="256"/>
      <c r="AU263" s="256"/>
      <c r="AV263" s="256"/>
      <c r="AW263" s="256"/>
      <c r="AX263" s="256"/>
      <c r="AY263" s="256"/>
      <c r="AZ263" s="256"/>
      <c r="BA263" s="256"/>
      <c r="BB263" s="256"/>
      <c r="BC263" s="256"/>
      <c r="BD263" s="256"/>
      <c r="BE263" s="256"/>
      <c r="BF263" s="256"/>
      <c r="BG263" s="34"/>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row>
    <row r="264" spans="1:92" s="564" customFormat="1" ht="12.75">
      <c r="A264" s="614">
        <v>123</v>
      </c>
      <c r="B264" s="640" t="s">
        <v>1007</v>
      </c>
      <c r="C264" s="641" t="s">
        <v>1008</v>
      </c>
      <c r="D264" s="225" t="str">
        <f>P</f>
        <v>. . .</v>
      </c>
      <c r="E264" s="226">
        <f>TECpropanebutane</f>
        <v>0</v>
      </c>
      <c r="F264" s="227"/>
      <c r="G264" s="228" t="str">
        <f>P</f>
        <v>. . .</v>
      </c>
      <c r="H264" s="229" t="s">
        <v>1009</v>
      </c>
      <c r="I264" s="235">
        <f>VFPRO</f>
        <v>31.68</v>
      </c>
      <c r="J264" s="230" t="s">
        <v>1010</v>
      </c>
      <c r="K264" s="453">
        <f>ROUND(I264*TECpropanebutane,2)</f>
        <v>0.22</v>
      </c>
      <c r="L264" s="231"/>
      <c r="M264" s="547">
        <f>TIGPSCE</f>
        <v>4.68</v>
      </c>
      <c r="N264" s="548"/>
      <c r="O264" s="549" t="str">
        <f>P</f>
        <v>. . .</v>
      </c>
      <c r="P264" s="235" t="s">
        <v>1011</v>
      </c>
      <c r="Q264" s="550">
        <f>SUM(I264:P264)*19.6%</f>
        <v>7.16968</v>
      </c>
      <c r="R264" s="551">
        <f>SUM(I264:P264)*13%</f>
        <v>4.7554</v>
      </c>
      <c r="S264" s="642"/>
      <c r="T264" s="643">
        <v>5721</v>
      </c>
      <c r="U264" s="644"/>
      <c r="V264" s="555"/>
      <c r="W264" s="645">
        <v>5961</v>
      </c>
      <c r="X264" s="646">
        <v>9301</v>
      </c>
      <c r="Y264" s="557">
        <v>9308</v>
      </c>
      <c r="Z264" s="557">
        <v>9301</v>
      </c>
      <c r="AA264" s="647"/>
      <c r="AB264" s="558"/>
      <c r="AC264" s="559"/>
      <c r="AD264" s="559"/>
      <c r="AE264" s="621"/>
      <c r="AF264" s="622"/>
      <c r="AG264" s="622"/>
      <c r="AH264" s="622"/>
      <c r="AI264" s="622"/>
      <c r="AJ264" s="648"/>
      <c r="AK264" s="648"/>
      <c r="AL264" s="648"/>
      <c r="AM264" s="648"/>
      <c r="AN264" s="648"/>
      <c r="AO264" s="648"/>
      <c r="AP264" s="648"/>
      <c r="AQ264" s="648"/>
      <c r="AR264" s="648"/>
      <c r="AS264" s="648"/>
      <c r="AT264" s="648"/>
      <c r="AU264" s="648"/>
      <c r="AV264" s="648"/>
      <c r="AW264" s="648"/>
      <c r="AX264" s="648"/>
      <c r="AY264" s="648"/>
      <c r="AZ264" s="648"/>
      <c r="BA264" s="648"/>
      <c r="BB264" s="648"/>
      <c r="BC264" s="648"/>
      <c r="BD264" s="648"/>
      <c r="BE264" s="648"/>
      <c r="BF264" s="648"/>
      <c r="BG264" s="648"/>
      <c r="BH264" s="586"/>
      <c r="BI264" s="563"/>
      <c r="BJ264" s="563"/>
      <c r="BK264" s="563"/>
      <c r="BL264" s="563"/>
      <c r="BM264" s="563"/>
      <c r="BN264" s="563"/>
      <c r="BO264" s="563"/>
      <c r="BP264" s="563"/>
      <c r="BQ264" s="563"/>
      <c r="BR264" s="563"/>
      <c r="BS264" s="563"/>
      <c r="BT264" s="563"/>
      <c r="BU264" s="563"/>
      <c r="BV264" s="563"/>
      <c r="BW264" s="563"/>
      <c r="BX264" s="563"/>
      <c r="BY264" s="563"/>
      <c r="BZ264" s="563"/>
      <c r="CA264" s="563"/>
      <c r="CB264" s="563"/>
      <c r="CC264" s="563"/>
      <c r="CD264" s="563"/>
      <c r="CE264" s="563"/>
      <c r="CF264" s="563"/>
      <c r="CG264" s="563"/>
      <c r="CH264" s="563"/>
      <c r="CI264" s="563"/>
      <c r="CJ264" s="563"/>
      <c r="CK264" s="563"/>
      <c r="CL264" s="563"/>
      <c r="CM264" s="563"/>
      <c r="CN264" s="563"/>
    </row>
    <row r="265" spans="1:92" s="1" customFormat="1" ht="12.75">
      <c r="A265" s="578">
        <v>124</v>
      </c>
      <c r="B265" s="632" t="s">
        <v>1012</v>
      </c>
      <c r="C265" s="633" t="s">
        <v>1013</v>
      </c>
      <c r="D265" s="73" t="str">
        <f>P</f>
        <v>. . .</v>
      </c>
      <c r="E265" s="125">
        <f>TECpropanebutane</f>
        <v>0</v>
      </c>
      <c r="F265" s="163"/>
      <c r="G265" s="127" t="str">
        <f>P</f>
        <v>. . .</v>
      </c>
      <c r="H265" s="128" t="s">
        <v>1014</v>
      </c>
      <c r="I265" s="113">
        <f>VFPRO</f>
        <v>31.68</v>
      </c>
      <c r="J265" s="78" t="s">
        <v>1015</v>
      </c>
      <c r="K265" s="250">
        <f>ROUND(I265*TECpropanebutane,2)</f>
        <v>0.22</v>
      </c>
      <c r="L265" s="164"/>
      <c r="M265" s="177">
        <f>TIGP</f>
        <v>10.76</v>
      </c>
      <c r="N265" s="178"/>
      <c r="O265" s="179" t="str">
        <f>P</f>
        <v>. . .</v>
      </c>
      <c r="P265" s="113" t="str">
        <f>P</f>
        <v>. . .</v>
      </c>
      <c r="Q265" s="180">
        <f>SUM(I265:P265)*19.6%</f>
        <v>8.36136</v>
      </c>
      <c r="R265" s="181">
        <f>SUM(I265:P265)*13%</f>
        <v>5.5458</v>
      </c>
      <c r="S265" s="84"/>
      <c r="T265" s="404">
        <v>5714</v>
      </c>
      <c r="U265" s="405"/>
      <c r="V265" s="11"/>
      <c r="W265" s="402">
        <v>5962</v>
      </c>
      <c r="X265" s="402"/>
      <c r="Y265" s="170"/>
      <c r="Z265" s="170"/>
      <c r="AA265" s="13"/>
      <c r="AB265" s="19"/>
      <c r="AC265" s="20"/>
      <c r="AD265" s="21"/>
      <c r="AE265" s="22"/>
      <c r="AF265" s="22"/>
      <c r="AG265" s="22"/>
      <c r="AH265" s="22"/>
      <c r="AI265" s="256"/>
      <c r="AJ265" s="256"/>
      <c r="AK265" s="256"/>
      <c r="AL265" s="256"/>
      <c r="AM265" s="256"/>
      <c r="AN265" s="256"/>
      <c r="AO265" s="256"/>
      <c r="AP265" s="256"/>
      <c r="AQ265" s="256"/>
      <c r="AR265" s="256"/>
      <c r="AS265" s="256"/>
      <c r="AT265" s="256"/>
      <c r="AU265" s="256"/>
      <c r="AV265" s="256"/>
      <c r="AW265" s="256"/>
      <c r="AX265" s="256"/>
      <c r="AY265" s="256"/>
      <c r="AZ265" s="256"/>
      <c r="BA265" s="256"/>
      <c r="BB265" s="256"/>
      <c r="BC265" s="256"/>
      <c r="BD265" s="256"/>
      <c r="BE265" s="256"/>
      <c r="BF265" s="256"/>
      <c r="BG265" s="34"/>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row>
    <row r="266" spans="1:92" s="1" customFormat="1" ht="12.75">
      <c r="A266" s="578">
        <v>125</v>
      </c>
      <c r="B266" s="632" t="s">
        <v>1016</v>
      </c>
      <c r="C266" s="633" t="s">
        <v>1017</v>
      </c>
      <c r="D266" s="73" t="str">
        <f>P</f>
        <v>. . .</v>
      </c>
      <c r="E266" s="125">
        <f>TECpropanebutane</f>
        <v>0</v>
      </c>
      <c r="F266" s="163"/>
      <c r="G266" s="127" t="str">
        <f>P</f>
        <v>. . .</v>
      </c>
      <c r="H266" s="128" t="s">
        <v>1018</v>
      </c>
      <c r="I266" s="113">
        <f>VFPRO</f>
        <v>31.68</v>
      </c>
      <c r="J266" s="78" t="s">
        <v>1019</v>
      </c>
      <c r="K266" s="250">
        <f>ROUND(I266*TECpropanebutane,2)</f>
        <v>0.22</v>
      </c>
      <c r="L266" s="164"/>
      <c r="M266" s="177" t="s">
        <v>1020</v>
      </c>
      <c r="N266" s="178"/>
      <c r="O266" s="179" t="str">
        <f>P</f>
        <v>. . .</v>
      </c>
      <c r="P266" s="113" t="s">
        <v>1021</v>
      </c>
      <c r="Q266" s="180">
        <f>SUM(I266:P266)*19.6%</f>
        <v>6.2524</v>
      </c>
      <c r="R266" s="181">
        <f>SUM(I266:P266)*13%</f>
        <v>4.147</v>
      </c>
      <c r="S266" s="199"/>
      <c r="T266" s="9"/>
      <c r="U266" s="10"/>
      <c r="V266" s="11"/>
      <c r="W266" s="190">
        <v>5963</v>
      </c>
      <c r="X266" s="402"/>
      <c r="Y266" s="170">
        <v>9306</v>
      </c>
      <c r="Z266" s="170">
        <v>9308</v>
      </c>
      <c r="AA266" s="170">
        <v>9053</v>
      </c>
      <c r="AB266" s="14"/>
      <c r="AC266" s="20"/>
      <c r="AD266" s="21"/>
      <c r="AE266" s="22"/>
      <c r="AF266" s="22"/>
      <c r="AG266" s="22"/>
      <c r="AH266" s="22"/>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34"/>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row>
    <row r="267" spans="1:92" s="1" customFormat="1" ht="12.75">
      <c r="A267" s="578"/>
      <c r="B267" s="632"/>
      <c r="C267" s="633" t="s">
        <v>1022</v>
      </c>
      <c r="D267" s="73" t="s">
        <v>1023</v>
      </c>
      <c r="E267" s="125"/>
      <c r="F267" s="163"/>
      <c r="G267" s="127"/>
      <c r="H267" s="494"/>
      <c r="I267" s="113"/>
      <c r="J267" s="78"/>
      <c r="K267" s="164"/>
      <c r="L267" s="164"/>
      <c r="M267" s="177"/>
      <c r="N267" s="178"/>
      <c r="O267" s="179"/>
      <c r="P267" s="168"/>
      <c r="Q267" s="168"/>
      <c r="R267" s="169"/>
      <c r="S267" s="388"/>
      <c r="T267" s="182"/>
      <c r="U267" s="183"/>
      <c r="V267" s="184"/>
      <c r="W267" s="185"/>
      <c r="X267" s="185"/>
      <c r="Y267" s="18">
        <v>9306</v>
      </c>
      <c r="Z267" s="18">
        <v>9308</v>
      </c>
      <c r="AA267" s="170">
        <v>9301</v>
      </c>
      <c r="AB267" s="19"/>
      <c r="AC267" s="20"/>
      <c r="AD267" s="21"/>
      <c r="AE267" s="22"/>
      <c r="AF267" s="22"/>
      <c r="AG267" s="22"/>
      <c r="AH267" s="22"/>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34"/>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row>
    <row r="268" spans="1:92" s="588" customFormat="1" ht="12.75">
      <c r="A268" s="578">
        <v>126</v>
      </c>
      <c r="B268" s="632" t="s">
        <v>1024</v>
      </c>
      <c r="C268" s="633" t="s">
        <v>1025</v>
      </c>
      <c r="D268" s="73" t="str">
        <f>P</f>
        <v>. . .</v>
      </c>
      <c r="E268" s="125">
        <f>TECpropanebutane</f>
        <v>0</v>
      </c>
      <c r="F268" s="163"/>
      <c r="G268" s="127" t="str">
        <f>P</f>
        <v>. . .</v>
      </c>
      <c r="H268" s="128" t="s">
        <v>1026</v>
      </c>
      <c r="I268" s="113">
        <f>VFPRO</f>
        <v>31.68</v>
      </c>
      <c r="J268" s="78" t="s">
        <v>1027</v>
      </c>
      <c r="K268" s="250">
        <f>ROUND(I268*TECpropanebutane,2)</f>
        <v>0.22</v>
      </c>
      <c r="L268" s="164"/>
      <c r="M268" s="177">
        <f>TIGPSCE</f>
        <v>4.68</v>
      </c>
      <c r="N268" s="178"/>
      <c r="O268" s="179" t="str">
        <f>P</f>
        <v>. . .</v>
      </c>
      <c r="P268" s="113" t="s">
        <v>1028</v>
      </c>
      <c r="Q268" s="180">
        <f>TVAPROSCEmetro</f>
        <v>7.16968</v>
      </c>
      <c r="R268" s="181">
        <f>TVAPROSCEcorse</f>
        <v>4.7554</v>
      </c>
      <c r="S268" s="84"/>
      <c r="T268" s="182">
        <v>5721</v>
      </c>
      <c r="U268" s="183"/>
      <c r="V268" s="11"/>
      <c r="W268" s="190">
        <v>5961</v>
      </c>
      <c r="X268" s="185">
        <v>9301</v>
      </c>
      <c r="Y268" s="557">
        <v>9308</v>
      </c>
      <c r="Z268" s="557">
        <v>9301</v>
      </c>
      <c r="AA268" s="557"/>
      <c r="AB268" s="582"/>
      <c r="AC268" s="583"/>
      <c r="AD268" s="584"/>
      <c r="AE268" s="585"/>
      <c r="AF268" s="585"/>
      <c r="AG268" s="585"/>
      <c r="AH268" s="585"/>
      <c r="AI268" s="585"/>
      <c r="AJ268" s="585"/>
      <c r="AK268" s="585"/>
      <c r="AL268" s="585"/>
      <c r="AM268" s="585"/>
      <c r="AN268" s="585"/>
      <c r="AO268" s="585"/>
      <c r="AP268" s="585"/>
      <c r="AQ268" s="585"/>
      <c r="AR268" s="585"/>
      <c r="AS268" s="585"/>
      <c r="AT268" s="585"/>
      <c r="AU268" s="585"/>
      <c r="AV268" s="585"/>
      <c r="AW268" s="585"/>
      <c r="AX268" s="585"/>
      <c r="AY268" s="585"/>
      <c r="AZ268" s="585"/>
      <c r="BA268" s="585"/>
      <c r="BB268" s="585"/>
      <c r="BC268" s="585"/>
      <c r="BD268" s="585"/>
      <c r="BE268" s="585"/>
      <c r="BF268" s="585"/>
      <c r="BG268" s="586"/>
      <c r="BH268" s="587"/>
      <c r="BI268" s="587"/>
      <c r="BJ268" s="587"/>
      <c r="BK268" s="587"/>
      <c r="BL268" s="587"/>
      <c r="BM268" s="587"/>
      <c r="BN268" s="587"/>
      <c r="BO268" s="587"/>
      <c r="BP268" s="587"/>
      <c r="BQ268" s="587"/>
      <c r="BR268" s="587"/>
      <c r="BS268" s="587"/>
      <c r="BT268" s="587"/>
      <c r="BU268" s="587"/>
      <c r="BV268" s="587"/>
      <c r="BW268" s="587"/>
      <c r="BX268" s="587"/>
      <c r="BY268" s="587"/>
      <c r="BZ268" s="587"/>
      <c r="CA268" s="587"/>
      <c r="CB268" s="587"/>
      <c r="CC268" s="587"/>
      <c r="CD268" s="587"/>
      <c r="CE268" s="587"/>
      <c r="CF268" s="587"/>
      <c r="CG268" s="587"/>
      <c r="CH268" s="587"/>
      <c r="CI268" s="587"/>
      <c r="CJ268" s="587"/>
      <c r="CK268" s="587"/>
      <c r="CL268" s="587"/>
      <c r="CM268" s="587"/>
      <c r="CN268" s="587"/>
    </row>
    <row r="269" spans="1:92" s="1" customFormat="1" ht="12.75">
      <c r="A269" s="578">
        <v>127</v>
      </c>
      <c r="B269" s="632" t="s">
        <v>1029</v>
      </c>
      <c r="C269" s="633" t="s">
        <v>1030</v>
      </c>
      <c r="D269" s="73" t="str">
        <f>P</f>
        <v>. . .</v>
      </c>
      <c r="E269" s="125">
        <f>TECpropanebutane</f>
        <v>0</v>
      </c>
      <c r="F269" s="163"/>
      <c r="G269" s="127" t="str">
        <f>P</f>
        <v>. . .</v>
      </c>
      <c r="H269" s="128" t="s">
        <v>1031</v>
      </c>
      <c r="I269" s="113">
        <f>VFPRO</f>
        <v>31.68</v>
      </c>
      <c r="J269" s="78" t="s">
        <v>1032</v>
      </c>
      <c r="K269" s="250">
        <f>ROUND(I269*TECpropanebutane,2)</f>
        <v>0.22</v>
      </c>
      <c r="L269" s="164"/>
      <c r="M269" s="177">
        <f>TIGP</f>
        <v>10.76</v>
      </c>
      <c r="N269" s="178"/>
      <c r="O269" s="179" t="str">
        <f>P</f>
        <v>. . .</v>
      </c>
      <c r="P269" s="113" t="str">
        <f>P</f>
        <v>. . .</v>
      </c>
      <c r="Q269" s="180">
        <f>TVAPROCARBmetro</f>
        <v>8.36136</v>
      </c>
      <c r="R269" s="181">
        <f>TVAPROCARBcorse</f>
        <v>5.5458</v>
      </c>
      <c r="S269" s="388"/>
      <c r="T269" s="58">
        <v>5714</v>
      </c>
      <c r="U269" s="59"/>
      <c r="V269" s="11"/>
      <c r="W269" s="219">
        <v>5962</v>
      </c>
      <c r="X269" s="219"/>
      <c r="Y269" s="170"/>
      <c r="Z269" s="170"/>
      <c r="AA269" s="170"/>
      <c r="AB269" s="19"/>
      <c r="AC269" s="20"/>
      <c r="AD269" s="21"/>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34"/>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row>
    <row r="270" spans="1:92" s="1" customFormat="1" ht="12.75">
      <c r="A270" s="578">
        <v>128</v>
      </c>
      <c r="B270" s="632" t="s">
        <v>1033</v>
      </c>
      <c r="C270" s="633" t="s">
        <v>1034</v>
      </c>
      <c r="D270" s="73" t="str">
        <f>P</f>
        <v>. . .</v>
      </c>
      <c r="E270" s="125">
        <f>TECpropanebutane</f>
        <v>0</v>
      </c>
      <c r="F270" s="163"/>
      <c r="G270" s="127" t="str">
        <f>P</f>
        <v>. . .</v>
      </c>
      <c r="H270" s="128" t="s">
        <v>1035</v>
      </c>
      <c r="I270" s="113">
        <f>VFPRO</f>
        <v>31.68</v>
      </c>
      <c r="J270" s="78" t="s">
        <v>1036</v>
      </c>
      <c r="K270" s="250">
        <f>ROUND(I270*TECpropanebutane,2)</f>
        <v>0.22</v>
      </c>
      <c r="L270" s="164"/>
      <c r="M270" s="319" t="s">
        <v>1037</v>
      </c>
      <c r="N270" s="320"/>
      <c r="O270" s="321" t="str">
        <f>P</f>
        <v>. . .</v>
      </c>
      <c r="P270" s="113" t="s">
        <v>1038</v>
      </c>
      <c r="Q270" s="538">
        <f>TVAPROAUTREmetro</f>
        <v>6.2524</v>
      </c>
      <c r="R270" s="625">
        <f>TVAPROAUTREcorse</f>
        <v>4.147</v>
      </c>
      <c r="S270" s="388"/>
      <c r="T270" s="596"/>
      <c r="U270" s="597"/>
      <c r="V270" s="598"/>
      <c r="W270" s="190">
        <v>5963</v>
      </c>
      <c r="X270" s="190"/>
      <c r="Y270" s="170">
        <v>9052</v>
      </c>
      <c r="Z270" s="170">
        <v>9308</v>
      </c>
      <c r="AA270" s="18">
        <v>9301</v>
      </c>
      <c r="AB270" s="19"/>
      <c r="AC270" s="20"/>
      <c r="AD270" s="21"/>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34"/>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row>
    <row r="271" spans="1:92" s="1" customFormat="1" ht="12.75">
      <c r="A271" s="578"/>
      <c r="B271" s="632"/>
      <c r="C271" s="637" t="s">
        <v>1039</v>
      </c>
      <c r="D271" s="73" t="s">
        <v>1040</v>
      </c>
      <c r="E271" s="125"/>
      <c r="F271" s="163"/>
      <c r="G271" s="127"/>
      <c r="H271" s="494"/>
      <c r="I271" s="78"/>
      <c r="J271" s="78"/>
      <c r="K271" s="164"/>
      <c r="L271" s="164"/>
      <c r="M271" s="177"/>
      <c r="N271" s="178"/>
      <c r="O271" s="179"/>
      <c r="P271" s="168"/>
      <c r="Q271" s="168"/>
      <c r="R271" s="169"/>
      <c r="S271" s="189"/>
      <c r="T271" s="182"/>
      <c r="U271" s="183"/>
      <c r="V271" s="184"/>
      <c r="W271" s="185"/>
      <c r="X271" s="185"/>
      <c r="Y271" s="18"/>
      <c r="Z271" s="18"/>
      <c r="AA271" s="170"/>
      <c r="AB271" s="19"/>
      <c r="AC271" s="20"/>
      <c r="AD271" s="21"/>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34"/>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row>
    <row r="272" spans="1:92" s="1" customFormat="1" ht="12.75">
      <c r="A272" s="578">
        <v>129</v>
      </c>
      <c r="B272" s="632" t="s">
        <v>1041</v>
      </c>
      <c r="C272" s="637" t="s">
        <v>1042</v>
      </c>
      <c r="D272" s="73" t="s">
        <v>1043</v>
      </c>
      <c r="E272" s="125" t="s">
        <v>1044</v>
      </c>
      <c r="F272" s="163"/>
      <c r="G272" s="127" t="s">
        <v>1045</v>
      </c>
      <c r="H272" s="128" t="s">
        <v>1046</v>
      </c>
      <c r="I272" s="78" t="str">
        <f>R</f>
        <v>Réelle</v>
      </c>
      <c r="J272" s="78" t="s">
        <v>1047</v>
      </c>
      <c r="K272" s="252" t="s">
        <v>1048</v>
      </c>
      <c r="L272" s="164"/>
      <c r="M272" s="177" t="str">
        <f>"(3)"</f>
        <v>(3)</v>
      </c>
      <c r="N272" s="178"/>
      <c r="O272" s="97" t="str">
        <f>P</f>
        <v>. . .</v>
      </c>
      <c r="P272" s="78" t="str">
        <f>"(3)"</f>
        <v>(3)</v>
      </c>
      <c r="Q272" s="113" t="str">
        <f>"(3)"</f>
        <v>(3)</v>
      </c>
      <c r="R272" s="193" t="str">
        <f>"(3)"</f>
        <v>(3)</v>
      </c>
      <c r="S272" s="189"/>
      <c r="T272" s="9"/>
      <c r="U272" s="10"/>
      <c r="V272" s="11"/>
      <c r="W272" s="185" t="str">
        <f>t</f>
        <v>TVO</v>
      </c>
      <c r="X272" s="185">
        <v>5930</v>
      </c>
      <c r="Y272" s="170">
        <v>9052</v>
      </c>
      <c r="Z272" s="170">
        <v>9308</v>
      </c>
      <c r="AA272" s="170">
        <v>9301</v>
      </c>
      <c r="AB272" s="254"/>
      <c r="AC272" s="20"/>
      <c r="AD272" s="21"/>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34"/>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row>
    <row r="273" spans="1:92" s="1" customFormat="1" ht="12.75">
      <c r="A273" s="578">
        <v>130</v>
      </c>
      <c r="B273" s="632" t="s">
        <v>1049</v>
      </c>
      <c r="C273" s="637" t="s">
        <v>1050</v>
      </c>
      <c r="D273" s="73"/>
      <c r="E273" s="125"/>
      <c r="F273" s="163"/>
      <c r="G273" s="127"/>
      <c r="H273" s="494"/>
      <c r="I273" s="78"/>
      <c r="J273" s="78"/>
      <c r="K273" s="164"/>
      <c r="L273" s="164"/>
      <c r="M273" s="177"/>
      <c r="N273" s="178"/>
      <c r="O273" s="179"/>
      <c r="P273" s="168"/>
      <c r="Q273" s="113"/>
      <c r="R273" s="193"/>
      <c r="S273" s="189"/>
      <c r="T273" s="58"/>
      <c r="U273" s="59"/>
      <c r="V273" s="60"/>
      <c r="W273" s="61"/>
      <c r="X273" s="61"/>
      <c r="Y273" s="35"/>
      <c r="Z273" s="35"/>
      <c r="AA273" s="170"/>
      <c r="AB273" s="19"/>
      <c r="AC273" s="20"/>
      <c r="AD273" s="21"/>
      <c r="AE273" s="22"/>
      <c r="AF273" s="22"/>
      <c r="AG273" s="22"/>
      <c r="AH273" s="22"/>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34"/>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row>
    <row r="274" spans="1:92" s="1" customFormat="1" ht="12.75">
      <c r="A274" s="578"/>
      <c r="B274" s="632"/>
      <c r="C274" s="637" t="s">
        <v>1051</v>
      </c>
      <c r="D274" s="73" t="s">
        <v>1052</v>
      </c>
      <c r="E274" s="125" t="s">
        <v>1053</v>
      </c>
      <c r="F274" s="163"/>
      <c r="G274" s="127" t="s">
        <v>1054</v>
      </c>
      <c r="H274" s="128" t="s">
        <v>1055</v>
      </c>
      <c r="I274" s="78" t="str">
        <f>R</f>
        <v>Réelle</v>
      </c>
      <c r="J274" s="78" t="s">
        <v>1056</v>
      </c>
      <c r="K274" s="252" t="s">
        <v>1057</v>
      </c>
      <c r="L274" s="164"/>
      <c r="M274" s="177" t="str">
        <f>"(3)"</f>
        <v>(3)</v>
      </c>
      <c r="N274" s="178"/>
      <c r="O274" s="97" t="str">
        <f>P</f>
        <v>. . .</v>
      </c>
      <c r="P274" s="78" t="str">
        <f>"(3)"</f>
        <v>(3)</v>
      </c>
      <c r="Q274" s="113" t="str">
        <f>"(3)"</f>
        <v>(3)</v>
      </c>
      <c r="R274" s="193" t="str">
        <f>"(3)"</f>
        <v>(3)</v>
      </c>
      <c r="S274" s="57"/>
      <c r="T274" s="9"/>
      <c r="U274" s="10"/>
      <c r="V274" s="11"/>
      <c r="W274" s="185" t="str">
        <f>t</f>
        <v>TVO</v>
      </c>
      <c r="X274" s="185">
        <v>5930</v>
      </c>
      <c r="Y274" s="35"/>
      <c r="Z274" s="35"/>
      <c r="AA274" s="18"/>
      <c r="AB274" s="19"/>
      <c r="AC274" s="20"/>
      <c r="AD274" s="21"/>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34"/>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row>
    <row r="275" spans="1:92" s="1" customFormat="1" ht="12.75">
      <c r="A275" s="578"/>
      <c r="B275" s="632"/>
      <c r="C275" s="637" t="s">
        <v>1058</v>
      </c>
      <c r="D275" s="73"/>
      <c r="E275" s="125"/>
      <c r="F275" s="163"/>
      <c r="G275" s="127"/>
      <c r="H275" s="494"/>
      <c r="I275" s="78"/>
      <c r="J275" s="78"/>
      <c r="K275" s="164"/>
      <c r="L275" s="164"/>
      <c r="M275" s="177"/>
      <c r="N275" s="178"/>
      <c r="O275" s="179"/>
      <c r="P275" s="168"/>
      <c r="Q275" s="113"/>
      <c r="R275" s="193"/>
      <c r="S275" s="189"/>
      <c r="T275" s="85"/>
      <c r="U275" s="86"/>
      <c r="V275" s="87"/>
      <c r="W275" s="88"/>
      <c r="X275" s="88"/>
      <c r="Y275" s="35">
        <v>9053</v>
      </c>
      <c r="Z275" s="35">
        <v>9306</v>
      </c>
      <c r="AA275" s="35">
        <v>9308</v>
      </c>
      <c r="AB275" s="19"/>
      <c r="AC275" s="20"/>
      <c r="AD275" s="21"/>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34"/>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row>
    <row r="276" spans="1:92" s="1" customFormat="1" ht="12.75">
      <c r="A276" s="578"/>
      <c r="B276" s="632"/>
      <c r="C276" s="633" t="s">
        <v>1059</v>
      </c>
      <c r="D276" s="302"/>
      <c r="E276" s="303"/>
      <c r="F276" s="34"/>
      <c r="G276" s="304"/>
      <c r="H276" s="304"/>
      <c r="I276" s="305"/>
      <c r="J276" s="305"/>
      <c r="K276" s="306"/>
      <c r="L276" s="306"/>
      <c r="M276" s="307"/>
      <c r="N276" s="308"/>
      <c r="O276" s="309"/>
      <c r="P276" s="305"/>
      <c r="Q276" s="310"/>
      <c r="R276" s="311"/>
      <c r="S276" s="189"/>
      <c r="T276" s="85"/>
      <c r="U276" s="86"/>
      <c r="V276" s="87"/>
      <c r="W276" s="88"/>
      <c r="X276" s="88"/>
      <c r="Y276" s="13">
        <v>9306</v>
      </c>
      <c r="Z276" s="13">
        <v>9308</v>
      </c>
      <c r="AA276" s="35">
        <v>9301</v>
      </c>
      <c r="AB276" s="19"/>
      <c r="AC276" s="20"/>
      <c r="AD276" s="21"/>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34"/>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row>
    <row r="277" spans="1:92" s="1" customFormat="1" ht="12.75">
      <c r="A277" s="578">
        <v>131</v>
      </c>
      <c r="B277" s="632" t="s">
        <v>1060</v>
      </c>
      <c r="C277" s="633" t="s">
        <v>1061</v>
      </c>
      <c r="D277" s="73" t="str">
        <f>P</f>
        <v>. . .</v>
      </c>
      <c r="E277" s="125">
        <f>TECpropanebutane</f>
        <v>0</v>
      </c>
      <c r="F277" s="163"/>
      <c r="G277" s="127" t="str">
        <f>P</f>
        <v>. . .</v>
      </c>
      <c r="H277" s="128" t="s">
        <v>1062</v>
      </c>
      <c r="I277" s="113">
        <f>VFBUT</f>
        <v>30.79</v>
      </c>
      <c r="J277" s="78" t="s">
        <v>1063</v>
      </c>
      <c r="K277" s="250">
        <f>ROUND(I277*TECpropanebutane,2)</f>
        <v>0.22</v>
      </c>
      <c r="L277" s="164"/>
      <c r="M277" s="177">
        <f>TIGPSCE</f>
        <v>4.68</v>
      </c>
      <c r="N277" s="178"/>
      <c r="O277" s="179" t="str">
        <f>P</f>
        <v>. . .</v>
      </c>
      <c r="P277" s="113" t="s">
        <v>1064</v>
      </c>
      <c r="Q277" s="180">
        <f>SUM(I277:P277)*19.6%</f>
        <v>6.99524</v>
      </c>
      <c r="R277" s="181">
        <f>SUM(I277:P277)*13%</f>
        <v>4.6396999999999995</v>
      </c>
      <c r="S277" s="189"/>
      <c r="T277" s="85">
        <v>5721</v>
      </c>
      <c r="U277" s="86"/>
      <c r="V277" s="11"/>
      <c r="W277" s="285">
        <v>5927</v>
      </c>
      <c r="X277" s="88">
        <v>9301</v>
      </c>
      <c r="Y277" s="170">
        <v>9308</v>
      </c>
      <c r="Z277" s="170">
        <v>9301</v>
      </c>
      <c r="AA277" s="35"/>
      <c r="AB277" s="254"/>
      <c r="AC277" s="20"/>
      <c r="AD277" s="21"/>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34"/>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row>
    <row r="278" spans="1:92" s="1" customFormat="1" ht="12.75">
      <c r="A278" s="578">
        <v>132</v>
      </c>
      <c r="B278" s="632" t="s">
        <v>1065</v>
      </c>
      <c r="C278" s="633" t="s">
        <v>1066</v>
      </c>
      <c r="D278" s="73" t="str">
        <f>P</f>
        <v>. . .</v>
      </c>
      <c r="E278" s="125">
        <f>TECpropanebutane</f>
        <v>0</v>
      </c>
      <c r="F278" s="163"/>
      <c r="G278" s="127" t="str">
        <f>P</f>
        <v>. . .</v>
      </c>
      <c r="H278" s="128" t="s">
        <v>1067</v>
      </c>
      <c r="I278" s="113">
        <f>VFBUT</f>
        <v>30.79</v>
      </c>
      <c r="J278" s="78" t="s">
        <v>1068</v>
      </c>
      <c r="K278" s="250">
        <f>ROUND(I278*TECpropanebutane,2)</f>
        <v>0.22</v>
      </c>
      <c r="L278" s="164"/>
      <c r="M278" s="177">
        <f>TIGP</f>
        <v>10.76</v>
      </c>
      <c r="N278" s="178"/>
      <c r="O278" s="179" t="str">
        <f>P</f>
        <v>. . .</v>
      </c>
      <c r="P278" s="113" t="str">
        <f>P</f>
        <v>. . .</v>
      </c>
      <c r="Q278" s="180">
        <f>SUM(I278:P278)*19.6%</f>
        <v>8.186919999999999</v>
      </c>
      <c r="R278" s="181">
        <f>SUM(I278:P278)*13%</f>
        <v>5.4300999999999995</v>
      </c>
      <c r="S278" s="57"/>
      <c r="T278" s="404">
        <v>5714</v>
      </c>
      <c r="U278" s="405"/>
      <c r="V278" s="11"/>
      <c r="W278" s="402">
        <v>5914</v>
      </c>
      <c r="X278" s="285"/>
      <c r="Y278" s="170"/>
      <c r="Z278" s="170"/>
      <c r="AA278" s="35"/>
      <c r="AB278" s="19"/>
      <c r="AC278" s="20"/>
      <c r="AD278" s="21"/>
      <c r="AE278" s="22"/>
      <c r="AF278" s="22"/>
      <c r="AG278" s="22"/>
      <c r="AH278" s="22"/>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34"/>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row>
    <row r="279" spans="1:92" s="1" customFormat="1" ht="12.75">
      <c r="A279" s="578">
        <v>133</v>
      </c>
      <c r="B279" s="632" t="s">
        <v>1069</v>
      </c>
      <c r="C279" s="633" t="s">
        <v>1070</v>
      </c>
      <c r="D279" s="73" t="str">
        <f>P</f>
        <v>. . .</v>
      </c>
      <c r="E279" s="125">
        <f>TECpropanebutane</f>
        <v>0</v>
      </c>
      <c r="F279" s="163"/>
      <c r="G279" s="127" t="str">
        <f>P</f>
        <v>. . .</v>
      </c>
      <c r="H279" s="128" t="s">
        <v>1071</v>
      </c>
      <c r="I279" s="113">
        <f>VFBUT</f>
        <v>30.79</v>
      </c>
      <c r="J279" s="78" t="s">
        <v>1072</v>
      </c>
      <c r="K279" s="250">
        <f>ROUND(I279*TECpropanebutane,2)</f>
        <v>0.22</v>
      </c>
      <c r="L279" s="164"/>
      <c r="M279" s="177" t="s">
        <v>1073</v>
      </c>
      <c r="N279" s="178"/>
      <c r="O279" s="179" t="str">
        <f>P</f>
        <v>. . .</v>
      </c>
      <c r="P279" s="113" t="s">
        <v>1074</v>
      </c>
      <c r="Q279" s="180">
        <f>SUM(I279:P279)*19.6%</f>
        <v>6.07796</v>
      </c>
      <c r="R279" s="181">
        <f>SUM(I279:P279)*13%</f>
        <v>4.0313</v>
      </c>
      <c r="S279" s="84"/>
      <c r="T279" s="9"/>
      <c r="U279" s="10"/>
      <c r="V279" s="11"/>
      <c r="W279" s="190">
        <v>5913</v>
      </c>
      <c r="X279" s="285"/>
      <c r="Y279" s="170">
        <v>9053</v>
      </c>
      <c r="Z279" s="170">
        <v>9306</v>
      </c>
      <c r="AA279" s="170">
        <v>9308</v>
      </c>
      <c r="AB279" s="19"/>
      <c r="AC279" s="20"/>
      <c r="AD279" s="21"/>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34"/>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row>
    <row r="280" spans="1:92" s="1" customFormat="1" ht="12.75">
      <c r="A280" s="578"/>
      <c r="B280" s="632"/>
      <c r="C280" s="633" t="s">
        <v>1075</v>
      </c>
      <c r="D280" s="73"/>
      <c r="E280" s="125"/>
      <c r="F280" s="163"/>
      <c r="G280" s="493"/>
      <c r="H280" s="494"/>
      <c r="I280" s="78"/>
      <c r="J280" s="78"/>
      <c r="K280" s="164"/>
      <c r="L280" s="164"/>
      <c r="M280" s="177"/>
      <c r="N280" s="178"/>
      <c r="O280" s="179"/>
      <c r="P280" s="180"/>
      <c r="Q280" s="168"/>
      <c r="R280" s="169"/>
      <c r="S280" s="84"/>
      <c r="T280" s="182"/>
      <c r="U280" s="183"/>
      <c r="V280" s="184"/>
      <c r="W280" s="185"/>
      <c r="X280" s="185"/>
      <c r="Y280" s="18">
        <v>9306</v>
      </c>
      <c r="Z280" s="18">
        <v>9308</v>
      </c>
      <c r="AA280" s="170">
        <v>9301</v>
      </c>
      <c r="AB280" s="19"/>
      <c r="AC280" s="20"/>
      <c r="AD280" s="21"/>
      <c r="AE280" s="22"/>
      <c r="AF280" s="22"/>
      <c r="AG280" s="22"/>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34"/>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row>
    <row r="281" spans="1:92" s="1" customFormat="1" ht="12.75">
      <c r="A281" s="578">
        <v>134</v>
      </c>
      <c r="B281" s="632" t="s">
        <v>1076</v>
      </c>
      <c r="C281" s="633" t="s">
        <v>1077</v>
      </c>
      <c r="D281" s="73" t="str">
        <f>P</f>
        <v>. . .</v>
      </c>
      <c r="E281" s="125">
        <f>TECpropanebutane</f>
        <v>0</v>
      </c>
      <c r="F281" s="163"/>
      <c r="G281" s="127" t="str">
        <f>P</f>
        <v>. . .</v>
      </c>
      <c r="H281" s="128" t="s">
        <v>1078</v>
      </c>
      <c r="I281" s="113">
        <f>VFBUT</f>
        <v>30.79</v>
      </c>
      <c r="J281" s="78" t="s">
        <v>1079</v>
      </c>
      <c r="K281" s="250">
        <f>ROUND(I281*TECpropanebutane,2)</f>
        <v>0.22</v>
      </c>
      <c r="L281" s="164"/>
      <c r="M281" s="177">
        <f>TIGPSCE</f>
        <v>4.68</v>
      </c>
      <c r="N281" s="178"/>
      <c r="O281" s="179" t="str">
        <f>P</f>
        <v>. . .</v>
      </c>
      <c r="P281" s="113" t="s">
        <v>1080</v>
      </c>
      <c r="Q281" s="180">
        <f>TVABUTSCEmetro</f>
        <v>6.99524</v>
      </c>
      <c r="R281" s="181">
        <f>TVABUTSCEcorse</f>
        <v>4.6396999999999995</v>
      </c>
      <c r="S281" s="84"/>
      <c r="T281" s="182">
        <v>5721</v>
      </c>
      <c r="U281" s="183"/>
      <c r="V281" s="11"/>
      <c r="W281" s="190">
        <v>5927</v>
      </c>
      <c r="X281" s="185">
        <v>9301</v>
      </c>
      <c r="Y281" s="170">
        <v>9308</v>
      </c>
      <c r="Z281" s="170">
        <v>9301</v>
      </c>
      <c r="AA281" s="170"/>
      <c r="AB281" s="254"/>
      <c r="AC281" s="20"/>
      <c r="AD281" s="21"/>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34"/>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row>
    <row r="282" spans="1:92" s="1" customFormat="1" ht="12.75">
      <c r="A282" s="578">
        <v>135</v>
      </c>
      <c r="B282" s="632" t="s">
        <v>1081</v>
      </c>
      <c r="C282" s="633" t="s">
        <v>1082</v>
      </c>
      <c r="D282" s="73" t="str">
        <f>P</f>
        <v>. . .</v>
      </c>
      <c r="E282" s="125">
        <f>TECpropanebutane</f>
        <v>0</v>
      </c>
      <c r="F282" s="163"/>
      <c r="G282" s="127" t="str">
        <f>P</f>
        <v>. . .</v>
      </c>
      <c r="H282" s="128" t="s">
        <v>1083</v>
      </c>
      <c r="I282" s="113">
        <f>VFBUT</f>
        <v>30.79</v>
      </c>
      <c r="J282" s="78" t="s">
        <v>1084</v>
      </c>
      <c r="K282" s="250">
        <f>ROUND(I282*TECpropanebutane,2)</f>
        <v>0.22</v>
      </c>
      <c r="L282" s="164"/>
      <c r="M282" s="177">
        <f>TIGP</f>
        <v>10.76</v>
      </c>
      <c r="N282" s="178"/>
      <c r="O282" s="179" t="str">
        <f>P</f>
        <v>. . .</v>
      </c>
      <c r="P282" s="113" t="str">
        <f>P</f>
        <v>. . .</v>
      </c>
      <c r="Q282" s="180">
        <f>TVABUTCARBmetro</f>
        <v>8.186919999999999</v>
      </c>
      <c r="R282" s="181">
        <f>TVABUTCARBcorse</f>
        <v>5.4300999999999995</v>
      </c>
      <c r="S282" s="84"/>
      <c r="T282" s="58">
        <v>5714</v>
      </c>
      <c r="U282" s="59"/>
      <c r="V282" s="11"/>
      <c r="W282" s="219">
        <v>5914</v>
      </c>
      <c r="X282" s="219"/>
      <c r="Y282" s="170">
        <v>9348</v>
      </c>
      <c r="Z282" s="170">
        <v>9301</v>
      </c>
      <c r="AA282" s="170"/>
      <c r="AB282" s="19"/>
      <c r="AC282" s="20"/>
      <c r="AD282" s="21"/>
      <c r="AE282" s="22"/>
      <c r="AF282" s="22"/>
      <c r="AG282" s="22"/>
      <c r="AH282" s="22"/>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34"/>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row>
    <row r="283" spans="1:92" s="603" customFormat="1" ht="12.75">
      <c r="A283" s="578">
        <v>136</v>
      </c>
      <c r="B283" s="632" t="s">
        <v>1085</v>
      </c>
      <c r="C283" s="633" t="s">
        <v>1086</v>
      </c>
      <c r="D283" s="73" t="str">
        <f>P</f>
        <v>. . .</v>
      </c>
      <c r="E283" s="125">
        <f>TECpropanebutane</f>
        <v>0</v>
      </c>
      <c r="F283" s="163"/>
      <c r="G283" s="127" t="str">
        <f>P</f>
        <v>. . .</v>
      </c>
      <c r="H283" s="128" t="str">
        <f>P</f>
        <v>. . .</v>
      </c>
      <c r="I283" s="113">
        <f>VFBUT</f>
        <v>30.79</v>
      </c>
      <c r="J283" s="78" t="s">
        <v>1087</v>
      </c>
      <c r="K283" s="250">
        <f>ROUND(I283*TECpropanebutane,2)</f>
        <v>0.22</v>
      </c>
      <c r="L283" s="164"/>
      <c r="M283" s="177" t="s">
        <v>1088</v>
      </c>
      <c r="N283" s="178"/>
      <c r="O283" s="179" t="str">
        <f>P</f>
        <v>. . .</v>
      </c>
      <c r="P283" s="113" t="str">
        <f>P</f>
        <v>. . .</v>
      </c>
      <c r="Q283" s="180">
        <f>TVABUTAUTREmetro</f>
        <v>6.07796</v>
      </c>
      <c r="R283" s="181">
        <f>TVABUTAUTREcorse</f>
        <v>4.0313</v>
      </c>
      <c r="S283" s="388"/>
      <c r="T283" s="9"/>
      <c r="U283" s="10"/>
      <c r="V283" s="11"/>
      <c r="W283" s="190">
        <v>5913</v>
      </c>
      <c r="X283" s="190"/>
      <c r="Y283" s="170"/>
      <c r="Z283" s="170"/>
      <c r="AA283" s="18"/>
      <c r="AB283" s="19"/>
      <c r="AC283" s="20"/>
      <c r="AD283" s="297"/>
      <c r="AE283" s="256"/>
      <c r="AF283" s="256"/>
      <c r="AG283" s="256"/>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34"/>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row>
    <row r="284" spans="1:92" s="1" customFormat="1" ht="12.75">
      <c r="A284" s="578">
        <v>137</v>
      </c>
      <c r="B284" s="632" t="s">
        <v>1089</v>
      </c>
      <c r="C284" s="637" t="s">
        <v>1090</v>
      </c>
      <c r="D284" s="73" t="str">
        <f>P</f>
        <v>. . .</v>
      </c>
      <c r="E284" s="125" t="s">
        <v>1091</v>
      </c>
      <c r="F284" s="163"/>
      <c r="G284" s="127" t="str">
        <f>P</f>
        <v>. . .</v>
      </c>
      <c r="H284" s="128" t="str">
        <f>P</f>
        <v>. . .</v>
      </c>
      <c r="I284" s="78" t="str">
        <f>R</f>
        <v>Réelle</v>
      </c>
      <c r="J284" s="78" t="str">
        <f>P</f>
        <v>. . .</v>
      </c>
      <c r="K284" s="252" t="s">
        <v>1092</v>
      </c>
      <c r="L284" s="164"/>
      <c r="M284" s="177" t="s">
        <v>1093</v>
      </c>
      <c r="N284" s="178"/>
      <c r="O284" s="179" t="str">
        <f>P</f>
        <v>. . .</v>
      </c>
      <c r="P284" s="113" t="str">
        <f>P</f>
        <v>. . .</v>
      </c>
      <c r="Q284" s="113" t="str">
        <f>VI</f>
        <v>(25)</v>
      </c>
      <c r="R284" s="193" t="str">
        <f>VI</f>
        <v>(25)</v>
      </c>
      <c r="S284" s="189"/>
      <c r="T284" s="9"/>
      <c r="U284" s="10"/>
      <c r="V284" s="11"/>
      <c r="W284" s="185" t="str">
        <f>t</f>
        <v>TVO</v>
      </c>
      <c r="X284" s="185">
        <v>5930</v>
      </c>
      <c r="Y284" s="170">
        <v>9053</v>
      </c>
      <c r="Z284" s="170">
        <v>9306</v>
      </c>
      <c r="AA284" s="170">
        <v>9308</v>
      </c>
      <c r="AB284" s="19"/>
      <c r="AC284" s="20"/>
      <c r="AD284" s="297"/>
      <c r="AE284" s="256"/>
      <c r="AF284" s="256"/>
      <c r="AG284" s="256"/>
      <c r="AH284" s="256"/>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34"/>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row>
    <row r="285" spans="1:92" s="1" customFormat="1" ht="12.75">
      <c r="A285" s="578"/>
      <c r="B285" s="632"/>
      <c r="C285" s="637" t="s">
        <v>1094</v>
      </c>
      <c r="D285" s="73"/>
      <c r="E285" s="125"/>
      <c r="F285" s="163"/>
      <c r="G285" s="127"/>
      <c r="H285" s="128"/>
      <c r="I285" s="113"/>
      <c r="J285" s="78"/>
      <c r="K285" s="164"/>
      <c r="L285" s="164"/>
      <c r="M285" s="177"/>
      <c r="N285" s="178"/>
      <c r="O285" s="179"/>
      <c r="P285" s="113"/>
      <c r="Q285" s="180"/>
      <c r="R285" s="181"/>
      <c r="S285" s="189"/>
      <c r="T285" s="182"/>
      <c r="U285" s="183"/>
      <c r="V285" s="184"/>
      <c r="W285" s="185"/>
      <c r="X285" s="185"/>
      <c r="Y285" s="18">
        <v>9306</v>
      </c>
      <c r="Z285" s="18">
        <v>9308</v>
      </c>
      <c r="AA285" s="18">
        <v>9301</v>
      </c>
      <c r="AB285" s="19"/>
      <c r="AC285" s="20"/>
      <c r="AD285" s="21"/>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34"/>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row>
    <row r="286" spans="1:92" s="1" customFormat="1" ht="12.75">
      <c r="A286" s="578">
        <v>138</v>
      </c>
      <c r="B286" s="632" t="s">
        <v>1095</v>
      </c>
      <c r="C286" s="637" t="s">
        <v>1096</v>
      </c>
      <c r="D286" s="73" t="str">
        <f>P</f>
        <v>. . .</v>
      </c>
      <c r="E286" s="125" t="s">
        <v>1097</v>
      </c>
      <c r="F286" s="163"/>
      <c r="G286" s="127" t="str">
        <f>P</f>
        <v>. . .</v>
      </c>
      <c r="H286" s="128" t="str">
        <f>P</f>
        <v>. . .</v>
      </c>
      <c r="I286" s="113">
        <f>VFBUT</f>
        <v>30.79</v>
      </c>
      <c r="J286" s="78" t="s">
        <v>1098</v>
      </c>
      <c r="K286" s="250" t="s">
        <v>1099</v>
      </c>
      <c r="L286" s="164"/>
      <c r="M286" s="177">
        <f>TIGPSCE</f>
        <v>4.68</v>
      </c>
      <c r="N286" s="178"/>
      <c r="O286" s="179" t="str">
        <f>P</f>
        <v>. . .</v>
      </c>
      <c r="P286" s="113" t="s">
        <v>1100</v>
      </c>
      <c r="Q286" s="180">
        <f>TVABUTSCEmetro</f>
        <v>6.99524</v>
      </c>
      <c r="R286" s="181">
        <f>TVABUTSCEcorse</f>
        <v>4.6396999999999995</v>
      </c>
      <c r="S286" s="189"/>
      <c r="T286" s="182">
        <v>5721</v>
      </c>
      <c r="U286" s="183"/>
      <c r="V286" s="11"/>
      <c r="W286" s="190">
        <v>5927</v>
      </c>
      <c r="X286" s="185">
        <v>9301</v>
      </c>
      <c r="Y286" s="170">
        <v>5930</v>
      </c>
      <c r="Z286" s="170">
        <v>9308</v>
      </c>
      <c r="AA286" s="170">
        <v>9301</v>
      </c>
      <c r="AB286" s="19"/>
      <c r="AC286" s="20"/>
      <c r="AD286" s="297"/>
      <c r="AE286" s="256"/>
      <c r="AF286" s="256"/>
      <c r="AG286" s="256"/>
      <c r="AH286" s="256"/>
      <c r="AI286" s="256"/>
      <c r="AJ286" s="256"/>
      <c r="AK286" s="256"/>
      <c r="AL286" s="256"/>
      <c r="AM286" s="256"/>
      <c r="AN286" s="256"/>
      <c r="AO286" s="256"/>
      <c r="AP286" s="256"/>
      <c r="AQ286" s="256"/>
      <c r="AR286" s="256"/>
      <c r="AS286" s="256"/>
      <c r="AT286" s="256"/>
      <c r="AU286" s="256"/>
      <c r="AV286" s="256"/>
      <c r="AW286" s="256"/>
      <c r="AX286" s="256"/>
      <c r="AY286" s="256"/>
      <c r="AZ286" s="256"/>
      <c r="BA286" s="256"/>
      <c r="BB286" s="256"/>
      <c r="BC286" s="256"/>
      <c r="BD286" s="256"/>
      <c r="BE286" s="256"/>
      <c r="BF286" s="256"/>
      <c r="BG286" s="34"/>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row>
    <row r="287" spans="1:92" s="1" customFormat="1" ht="12.75">
      <c r="A287" s="578">
        <v>139</v>
      </c>
      <c r="B287" s="632" t="s">
        <v>1101</v>
      </c>
      <c r="C287" s="637" t="s">
        <v>1102</v>
      </c>
      <c r="D287" s="73" t="str">
        <f>P</f>
        <v>. . .</v>
      </c>
      <c r="E287" s="125" t="s">
        <v>1103</v>
      </c>
      <c r="F287" s="163"/>
      <c r="G287" s="127" t="str">
        <f>P</f>
        <v>. . .</v>
      </c>
      <c r="H287" s="128" t="str">
        <f>P</f>
        <v>. . .</v>
      </c>
      <c r="I287" s="113">
        <f>VFBUT</f>
        <v>30.79</v>
      </c>
      <c r="J287" s="78" t="s">
        <v>1104</v>
      </c>
      <c r="K287" s="250" t="s">
        <v>1105</v>
      </c>
      <c r="L287" s="164"/>
      <c r="M287" s="177">
        <f>TIGP</f>
        <v>10.76</v>
      </c>
      <c r="N287" s="178"/>
      <c r="O287" s="179" t="str">
        <f>P</f>
        <v>. . .</v>
      </c>
      <c r="P287" s="113" t="str">
        <f>P</f>
        <v>. . .</v>
      </c>
      <c r="Q287" s="180">
        <f>TVABUTCARBmetro</f>
        <v>8.186919999999999</v>
      </c>
      <c r="R287" s="181">
        <f>TVABUTCARBcorse</f>
        <v>5.4300999999999995</v>
      </c>
      <c r="S287" s="57"/>
      <c r="T287" s="58">
        <v>5714</v>
      </c>
      <c r="U287" s="59"/>
      <c r="V287" s="11"/>
      <c r="W287" s="219">
        <v>5914</v>
      </c>
      <c r="X287" s="219"/>
      <c r="Y287" s="170"/>
      <c r="Z287" s="170"/>
      <c r="AA287" s="35"/>
      <c r="AB287" s="19"/>
      <c r="AC287" s="20"/>
      <c r="AD287" s="21"/>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34"/>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row>
    <row r="288" spans="1:92" s="1" customFormat="1" ht="12.75">
      <c r="A288" s="578">
        <v>140</v>
      </c>
      <c r="B288" s="632" t="s">
        <v>1106</v>
      </c>
      <c r="C288" s="637" t="s">
        <v>1107</v>
      </c>
      <c r="D288" s="73" t="s">
        <v>1108</v>
      </c>
      <c r="E288" s="125" t="s">
        <v>1109</v>
      </c>
      <c r="F288" s="163"/>
      <c r="G288" s="127" t="s">
        <v>1110</v>
      </c>
      <c r="H288" s="128" t="s">
        <v>1111</v>
      </c>
      <c r="I288" s="78" t="str">
        <f>R</f>
        <v>Réelle</v>
      </c>
      <c r="J288" s="78" t="s">
        <v>1112</v>
      </c>
      <c r="K288" s="252" t="s">
        <v>1113</v>
      </c>
      <c r="L288" s="164"/>
      <c r="M288" s="177" t="s">
        <v>1114</v>
      </c>
      <c r="N288" s="178"/>
      <c r="O288" s="179" t="str">
        <f>P</f>
        <v>. . .</v>
      </c>
      <c r="P288" s="113" t="s">
        <v>1115</v>
      </c>
      <c r="Q288" s="113" t="str">
        <f>VI</f>
        <v>(25)</v>
      </c>
      <c r="R288" s="193" t="str">
        <f>VI</f>
        <v>(25)</v>
      </c>
      <c r="S288" s="189"/>
      <c r="T288" s="9"/>
      <c r="U288" s="10"/>
      <c r="V288" s="11"/>
      <c r="W288" s="185" t="str">
        <f>t</f>
        <v>TVO</v>
      </c>
      <c r="X288" s="185"/>
      <c r="Y288" s="35"/>
      <c r="Z288" s="35"/>
      <c r="AA288" s="170"/>
      <c r="AB288" s="19"/>
      <c r="AC288" s="20"/>
      <c r="AD288" s="21"/>
      <c r="AE288" s="22"/>
      <c r="AF288" s="22"/>
      <c r="AG288" s="22"/>
      <c r="AH288" s="256"/>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34"/>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row>
    <row r="289" spans="1:59" s="7" customFormat="1" ht="12.75">
      <c r="A289" s="578"/>
      <c r="B289" s="632"/>
      <c r="C289" s="636" t="s">
        <v>1116</v>
      </c>
      <c r="D289" s="73"/>
      <c r="E289" s="125"/>
      <c r="F289" s="163"/>
      <c r="G289" s="127"/>
      <c r="H289" s="128"/>
      <c r="I289" s="78"/>
      <c r="J289" s="78"/>
      <c r="K289" s="164"/>
      <c r="L289" s="164"/>
      <c r="M289" s="177"/>
      <c r="N289" s="178"/>
      <c r="O289" s="179"/>
      <c r="P289" s="113"/>
      <c r="Q289" s="113"/>
      <c r="R289" s="193"/>
      <c r="S289" s="189"/>
      <c r="T289" s="182"/>
      <c r="U289" s="183"/>
      <c r="V289" s="184"/>
      <c r="W289" s="185"/>
      <c r="X289" s="185"/>
      <c r="Y289" s="35">
        <v>9306</v>
      </c>
      <c r="Z289" s="35"/>
      <c r="AA289" s="170"/>
      <c r="AB289" s="19"/>
      <c r="AC289" s="20"/>
      <c r="AD289" s="297"/>
      <c r="AE289" s="256"/>
      <c r="AF289" s="256"/>
      <c r="AG289" s="256"/>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34"/>
    </row>
    <row r="290" spans="1:92" s="588" customFormat="1" ht="12.75">
      <c r="A290" s="614"/>
      <c r="B290" s="640"/>
      <c r="C290" s="641" t="s">
        <v>1117</v>
      </c>
      <c r="D290" s="225"/>
      <c r="E290" s="226"/>
      <c r="F290" s="227"/>
      <c r="G290" s="228"/>
      <c r="H290" s="229"/>
      <c r="I290" s="230"/>
      <c r="J290" s="230"/>
      <c r="K290" s="231"/>
      <c r="L290" s="231"/>
      <c r="M290" s="547"/>
      <c r="N290" s="548"/>
      <c r="O290" s="549"/>
      <c r="P290" s="235"/>
      <c r="Q290" s="501"/>
      <c r="R290" s="502"/>
      <c r="S290" s="617"/>
      <c r="T290" s="649"/>
      <c r="U290" s="650"/>
      <c r="V290" s="651"/>
      <c r="W290" s="652"/>
      <c r="X290" s="652"/>
      <c r="Y290" s="620"/>
      <c r="Z290" s="620"/>
      <c r="AA290" s="647"/>
      <c r="AB290" s="558"/>
      <c r="AC290" s="559"/>
      <c r="AD290" s="621"/>
      <c r="AE290" s="622"/>
      <c r="AF290" s="622"/>
      <c r="AG290" s="622"/>
      <c r="AH290" s="622"/>
      <c r="AI290" s="622"/>
      <c r="AJ290" s="622"/>
      <c r="AK290" s="622"/>
      <c r="AL290" s="622"/>
      <c r="AM290" s="622"/>
      <c r="AN290" s="622"/>
      <c r="AO290" s="622"/>
      <c r="AP290" s="622"/>
      <c r="AQ290" s="622"/>
      <c r="AR290" s="622"/>
      <c r="AS290" s="622"/>
      <c r="AT290" s="622"/>
      <c r="AU290" s="622"/>
      <c r="AV290" s="622"/>
      <c r="AW290" s="622"/>
      <c r="AX290" s="622"/>
      <c r="AY290" s="622"/>
      <c r="AZ290" s="622"/>
      <c r="BA290" s="622"/>
      <c r="BB290" s="622"/>
      <c r="BC290" s="622"/>
      <c r="BD290" s="622"/>
      <c r="BE290" s="622"/>
      <c r="BF290" s="622"/>
      <c r="BG290" s="586"/>
      <c r="BH290" s="563"/>
      <c r="BI290" s="563"/>
      <c r="BJ290" s="563"/>
      <c r="BK290" s="563"/>
      <c r="BL290" s="563"/>
      <c r="BM290" s="563"/>
      <c r="BN290" s="563"/>
      <c r="BO290" s="563"/>
      <c r="BP290" s="563"/>
      <c r="BQ290" s="563"/>
      <c r="BR290" s="563"/>
      <c r="BS290" s="563"/>
      <c r="BT290" s="563"/>
      <c r="BU290" s="563"/>
      <c r="BV290" s="563"/>
      <c r="BW290" s="563"/>
      <c r="BX290" s="563"/>
      <c r="BY290" s="563"/>
      <c r="BZ290" s="563"/>
      <c r="CA290" s="563"/>
      <c r="CB290" s="563"/>
      <c r="CC290" s="563"/>
      <c r="CD290" s="563"/>
      <c r="CE290" s="563"/>
      <c r="CF290" s="563"/>
      <c r="CG290" s="563"/>
      <c r="CH290" s="563"/>
      <c r="CI290" s="563"/>
      <c r="CJ290" s="563"/>
      <c r="CK290" s="563"/>
      <c r="CL290" s="563"/>
      <c r="CM290" s="563"/>
      <c r="CN290" s="563"/>
    </row>
    <row r="291" spans="1:92" s="1" customFormat="1" ht="12.75">
      <c r="A291" s="578">
        <v>141</v>
      </c>
      <c r="B291" s="89" t="s">
        <v>1118</v>
      </c>
      <c r="C291" s="107" t="s">
        <v>1119</v>
      </c>
      <c r="D291" s="78" t="s">
        <v>1120</v>
      </c>
      <c r="E291" s="125" t="s">
        <v>1121</v>
      </c>
      <c r="F291" s="163"/>
      <c r="G291" s="217" t="s">
        <v>1122</v>
      </c>
      <c r="H291" s="71" t="s">
        <v>1123</v>
      </c>
      <c r="I291" s="113">
        <v>4.5</v>
      </c>
      <c r="J291" s="78" t="s">
        <v>1124</v>
      </c>
      <c r="K291" s="514" t="s">
        <v>1125</v>
      </c>
      <c r="L291" s="163"/>
      <c r="M291" s="177">
        <f>TIGC</f>
        <v>8.47</v>
      </c>
      <c r="N291" s="178"/>
      <c r="O291" s="179" t="str">
        <f>P</f>
        <v>. . .</v>
      </c>
      <c r="P291" s="113" t="s">
        <v>1126</v>
      </c>
      <c r="Q291" s="113">
        <f>SUM(I291:P291)*19.6%</f>
        <v>2.54212</v>
      </c>
      <c r="R291" s="193">
        <f>SUM(I290:P291)*13%</f>
        <v>1.6861000000000002</v>
      </c>
      <c r="S291" s="84"/>
      <c r="T291" s="85">
        <v>5715</v>
      </c>
      <c r="U291" s="86"/>
      <c r="V291" s="440"/>
      <c r="W291" s="285">
        <v>5915</v>
      </c>
      <c r="X291" s="285"/>
      <c r="Y291" s="35">
        <v>9306</v>
      </c>
      <c r="Z291" s="35">
        <v>9301</v>
      </c>
      <c r="AA291" s="35"/>
      <c r="AB291" s="19"/>
      <c r="AC291" s="20"/>
      <c r="AD291" s="21"/>
      <c r="AE291" s="22"/>
      <c r="AF291" s="22"/>
      <c r="AG291" s="22"/>
      <c r="AH291" s="256"/>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34"/>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row>
    <row r="292" spans="1:92" s="1" customFormat="1" ht="12.75">
      <c r="A292" s="578"/>
      <c r="B292" s="89"/>
      <c r="C292" s="107" t="s">
        <v>1127</v>
      </c>
      <c r="D292" s="78"/>
      <c r="E292" s="125"/>
      <c r="F292" s="163"/>
      <c r="G292" s="127"/>
      <c r="H292" s="128"/>
      <c r="I292" s="78"/>
      <c r="J292" s="78"/>
      <c r="K292" s="164"/>
      <c r="L292" s="164"/>
      <c r="M292" s="177"/>
      <c r="N292" s="178"/>
      <c r="O292" s="179"/>
      <c r="P292" s="113"/>
      <c r="Q292" s="113"/>
      <c r="R292" s="193"/>
      <c r="S292" s="189"/>
      <c r="T292" s="58"/>
      <c r="U292" s="59"/>
      <c r="V292" s="60"/>
      <c r="W292" s="61"/>
      <c r="X292" s="61"/>
      <c r="Y292" s="35">
        <v>9306</v>
      </c>
      <c r="Z292" s="35">
        <v>9301</v>
      </c>
      <c r="AA292" s="35"/>
      <c r="AB292" s="19"/>
      <c r="AC292" s="20"/>
      <c r="AD292" s="21"/>
      <c r="AE292" s="22"/>
      <c r="AF292" s="22"/>
      <c r="AG292" s="22"/>
      <c r="AH292" s="22"/>
      <c r="AI292" s="653"/>
      <c r="AJ292" s="653"/>
      <c r="AK292" s="653"/>
      <c r="AL292" s="653"/>
      <c r="AM292" s="653"/>
      <c r="AN292" s="653"/>
      <c r="AO292" s="653"/>
      <c r="AP292" s="653"/>
      <c r="AQ292" s="653"/>
      <c r="AR292" s="653"/>
      <c r="AS292" s="653"/>
      <c r="AT292" s="653"/>
      <c r="AU292" s="653"/>
      <c r="AV292" s="653"/>
      <c r="AW292" s="653"/>
      <c r="AX292" s="653"/>
      <c r="AY292" s="653"/>
      <c r="AZ292" s="653"/>
      <c r="BA292" s="653"/>
      <c r="BB292" s="653"/>
      <c r="BC292" s="653"/>
      <c r="BD292" s="653"/>
      <c r="BE292" s="653"/>
      <c r="BF292" s="653"/>
      <c r="BG292" s="34"/>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row>
    <row r="293" spans="1:92" s="1" customFormat="1" ht="12.75">
      <c r="A293" s="578">
        <v>142</v>
      </c>
      <c r="B293" s="632" t="s">
        <v>1128</v>
      </c>
      <c r="C293" s="633" t="s">
        <v>1129</v>
      </c>
      <c r="D293" s="654" t="s">
        <v>1130</v>
      </c>
      <c r="E293" s="125" t="s">
        <v>1131</v>
      </c>
      <c r="F293" s="163"/>
      <c r="G293" s="127" t="e">
        <f>NA()</f>
        <v>#VALUE!</v>
      </c>
      <c r="H293" s="128" t="e">
        <f>NA()</f>
        <v>#VALUE!</v>
      </c>
      <c r="I293" s="113">
        <f>I291</f>
        <v>4.5</v>
      </c>
      <c r="J293" s="78" t="s">
        <v>1132</v>
      </c>
      <c r="K293" s="252" t="s">
        <v>1133</v>
      </c>
      <c r="L293" s="164"/>
      <c r="M293" s="177">
        <f>TIGC</f>
        <v>8.47</v>
      </c>
      <c r="N293" s="178"/>
      <c r="O293" s="179" t="str">
        <f>P</f>
        <v>. . .</v>
      </c>
      <c r="P293" s="179" t="str">
        <f>P</f>
        <v>. . .</v>
      </c>
      <c r="Q293" s="180">
        <f>TVAGAZNATCARBMETRO</f>
        <v>2.54212</v>
      </c>
      <c r="R293" s="221">
        <f>TVAGAZNATCARBCORSE</f>
        <v>1.6861000000000002</v>
      </c>
      <c r="S293" s="189"/>
      <c r="T293" s="85">
        <v>5715</v>
      </c>
      <c r="U293" s="86"/>
      <c r="V293" s="11"/>
      <c r="W293" s="285">
        <v>5915</v>
      </c>
      <c r="X293" s="285"/>
      <c r="Y293" s="35">
        <v>5930</v>
      </c>
      <c r="Z293" s="35">
        <v>9301</v>
      </c>
      <c r="AA293" s="18"/>
      <c r="AB293" s="19"/>
      <c r="AC293" s="20"/>
      <c r="AD293" s="21"/>
      <c r="AE293" s="22"/>
      <c r="AF293" s="22"/>
      <c r="AG293" s="22"/>
      <c r="AH293" s="22"/>
      <c r="AI293" s="653"/>
      <c r="AJ293" s="653"/>
      <c r="AK293" s="653"/>
      <c r="AL293" s="653"/>
      <c r="AM293" s="653"/>
      <c r="AN293" s="653"/>
      <c r="AO293" s="653"/>
      <c r="AP293" s="653"/>
      <c r="AQ293" s="653"/>
      <c r="AR293" s="653"/>
      <c r="AS293" s="653"/>
      <c r="AT293" s="653"/>
      <c r="AU293" s="653"/>
      <c r="AV293" s="653"/>
      <c r="AW293" s="653"/>
      <c r="AX293" s="653"/>
      <c r="AY293" s="653"/>
      <c r="AZ293" s="653"/>
      <c r="BA293" s="653"/>
      <c r="BB293" s="653"/>
      <c r="BC293" s="653"/>
      <c r="BD293" s="653"/>
      <c r="BE293" s="653"/>
      <c r="BF293" s="653"/>
      <c r="BG293" s="34"/>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row>
    <row r="294" spans="1:92" s="1" customFormat="1" ht="12.75">
      <c r="A294" s="578">
        <v>143</v>
      </c>
      <c r="B294" s="632" t="s">
        <v>1134</v>
      </c>
      <c r="C294" s="633" t="s">
        <v>1135</v>
      </c>
      <c r="D294" s="654" t="s">
        <v>1136</v>
      </c>
      <c r="E294" s="125" t="s">
        <v>1137</v>
      </c>
      <c r="F294" s="163"/>
      <c r="G294" s="127" t="e">
        <f>NA()</f>
        <v>#VALUE!</v>
      </c>
      <c r="H294" s="128" t="e">
        <f>NA()</f>
        <v>#VALUE!</v>
      </c>
      <c r="I294" s="113">
        <f>I291</f>
        <v>4.5</v>
      </c>
      <c r="J294" s="78" t="s">
        <v>1138</v>
      </c>
      <c r="K294" s="252" t="s">
        <v>1139</v>
      </c>
      <c r="L294" s="164"/>
      <c r="M294" s="177">
        <f>TIGC</f>
        <v>8.47</v>
      </c>
      <c r="N294" s="178"/>
      <c r="O294" s="179" t="str">
        <f>P</f>
        <v>. . .</v>
      </c>
      <c r="P294" s="179" t="str">
        <f>P</f>
        <v>. . .</v>
      </c>
      <c r="Q294" s="180">
        <f>TVAGAZNATCARBMETRO</f>
        <v>2.54212</v>
      </c>
      <c r="R294" s="221">
        <f>TVAGAZNATCARBCORSE</f>
        <v>1.6861000000000002</v>
      </c>
      <c r="S294" s="84"/>
      <c r="T294" s="85">
        <v>5715</v>
      </c>
      <c r="U294" s="86"/>
      <c r="V294" s="11"/>
      <c r="W294" s="285">
        <v>5915</v>
      </c>
      <c r="X294" s="285"/>
      <c r="Y294" s="35"/>
      <c r="Z294" s="35"/>
      <c r="AA294" s="35"/>
      <c r="AB294" s="19"/>
      <c r="AC294" s="20"/>
      <c r="AD294" s="21"/>
      <c r="AE294" s="22"/>
      <c r="AF294" s="22"/>
      <c r="AG294" s="22"/>
      <c r="AH294" s="22"/>
      <c r="AI294" s="653"/>
      <c r="AJ294" s="653"/>
      <c r="AK294" s="653"/>
      <c r="AL294" s="653"/>
      <c r="AM294" s="653"/>
      <c r="AN294" s="653"/>
      <c r="AO294" s="653"/>
      <c r="AP294" s="653"/>
      <c r="AQ294" s="653"/>
      <c r="AR294" s="653"/>
      <c r="AS294" s="653"/>
      <c r="AT294" s="653"/>
      <c r="AU294" s="653"/>
      <c r="AV294" s="653"/>
      <c r="AW294" s="653"/>
      <c r="AX294" s="653"/>
      <c r="AY294" s="653"/>
      <c r="AZ294" s="653"/>
      <c r="BA294" s="653"/>
      <c r="BB294" s="653"/>
      <c r="BC294" s="653"/>
      <c r="BD294" s="653"/>
      <c r="BE294" s="653"/>
      <c r="BF294" s="653"/>
      <c r="BG294" s="34"/>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row>
    <row r="295" spans="1:92" s="1" customFormat="1" ht="12.75">
      <c r="A295" s="578">
        <v>144</v>
      </c>
      <c r="B295" s="632" t="s">
        <v>1140</v>
      </c>
      <c r="C295" s="633" t="s">
        <v>1141</v>
      </c>
      <c r="D295" s="654" t="s">
        <v>1142</v>
      </c>
      <c r="E295" s="125" t="s">
        <v>1143</v>
      </c>
      <c r="F295" s="163"/>
      <c r="G295" s="127" t="e">
        <f>NA()</f>
        <v>#VALUE!</v>
      </c>
      <c r="H295" s="128" t="e">
        <f>NA()</f>
        <v>#VALUE!</v>
      </c>
      <c r="I295" s="78" t="str">
        <f>R</f>
        <v>Réelle</v>
      </c>
      <c r="J295" s="78" t="str">
        <f>P</f>
        <v>. . .</v>
      </c>
      <c r="K295" s="252" t="s">
        <v>1144</v>
      </c>
      <c r="L295" s="164"/>
      <c r="M295" s="177" t="s">
        <v>1145</v>
      </c>
      <c r="N295" s="178"/>
      <c r="O295" s="179" t="str">
        <f>P</f>
        <v>. . .</v>
      </c>
      <c r="P295" s="179" t="str">
        <f>P</f>
        <v>. . .</v>
      </c>
      <c r="Q295" s="113" t="str">
        <f>VI</f>
        <v>(25)</v>
      </c>
      <c r="R295" s="193" t="str">
        <f>VI</f>
        <v>(25)</v>
      </c>
      <c r="S295" s="84"/>
      <c r="T295" s="9"/>
      <c r="U295" s="10"/>
      <c r="V295" s="11"/>
      <c r="W295" s="88" t="str">
        <f>t</f>
        <v>TVO</v>
      </c>
      <c r="X295" s="88"/>
      <c r="Y295" s="276">
        <v>9348</v>
      </c>
      <c r="Z295" s="276"/>
      <c r="AA295" s="35"/>
      <c r="AB295" s="19"/>
      <c r="AC295" s="20"/>
      <c r="AD295" s="21"/>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34"/>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row>
    <row r="296" spans="1:92" s="588" customFormat="1" ht="12.75">
      <c r="A296" s="578"/>
      <c r="B296" s="634"/>
      <c r="C296" s="655" t="s">
        <v>1146</v>
      </c>
      <c r="D296" s="263"/>
      <c r="E296" s="264"/>
      <c r="F296" s="265"/>
      <c r="G296" s="266"/>
      <c r="H296" s="267"/>
      <c r="I296" s="268"/>
      <c r="J296" s="268"/>
      <c r="K296" s="269"/>
      <c r="L296" s="269"/>
      <c r="M296" s="270"/>
      <c r="N296" s="271"/>
      <c r="O296" s="272"/>
      <c r="P296" s="294"/>
      <c r="Q296" s="274"/>
      <c r="R296" s="275"/>
      <c r="S296" s="84"/>
      <c r="T296" s="85"/>
      <c r="U296" s="86"/>
      <c r="V296" s="87"/>
      <c r="W296" s="88"/>
      <c r="X296" s="88"/>
      <c r="Y296" s="656">
        <v>9348</v>
      </c>
      <c r="Z296" s="656"/>
      <c r="AA296" s="647"/>
      <c r="AB296" s="582"/>
      <c r="AC296" s="583"/>
      <c r="AD296" s="584"/>
      <c r="AE296" s="657"/>
      <c r="AF296" s="657"/>
      <c r="AG296" s="657"/>
      <c r="AH296" s="657"/>
      <c r="AI296" s="585"/>
      <c r="AJ296" s="585"/>
      <c r="AK296" s="585"/>
      <c r="AL296" s="585"/>
      <c r="AM296" s="585"/>
      <c r="AN296" s="585"/>
      <c r="AO296" s="585"/>
      <c r="AP296" s="585"/>
      <c r="AQ296" s="585"/>
      <c r="AR296" s="585"/>
      <c r="AS296" s="585"/>
      <c r="AT296" s="585"/>
      <c r="AU296" s="585"/>
      <c r="AV296" s="585"/>
      <c r="AW296" s="585"/>
      <c r="AX296" s="585"/>
      <c r="AY296" s="585"/>
      <c r="AZ296" s="585"/>
      <c r="BA296" s="585"/>
      <c r="BB296" s="585"/>
      <c r="BC296" s="585"/>
      <c r="BD296" s="585"/>
      <c r="BE296" s="585"/>
      <c r="BF296" s="585"/>
      <c r="BG296" s="586"/>
      <c r="BH296" s="587"/>
      <c r="BI296" s="587"/>
      <c r="BJ296" s="587"/>
      <c r="BK296" s="587"/>
      <c r="BL296" s="587"/>
      <c r="BM296" s="587"/>
      <c r="BN296" s="587"/>
      <c r="BO296" s="587"/>
      <c r="BP296" s="587"/>
      <c r="BQ296" s="587"/>
      <c r="BR296" s="587"/>
      <c r="BS296" s="587"/>
      <c r="BT296" s="587"/>
      <c r="BU296" s="587"/>
      <c r="BV296" s="587"/>
      <c r="BW296" s="587"/>
      <c r="BX296" s="587"/>
      <c r="BY296" s="587"/>
      <c r="BZ296" s="587"/>
      <c r="CA296" s="587"/>
      <c r="CB296" s="587"/>
      <c r="CC296" s="587"/>
      <c r="CD296" s="587"/>
      <c r="CE296" s="587"/>
      <c r="CF296" s="587"/>
      <c r="CG296" s="587"/>
      <c r="CH296" s="587"/>
      <c r="CI296" s="587"/>
      <c r="CJ296" s="587"/>
      <c r="CK296" s="587"/>
      <c r="CL296" s="587"/>
      <c r="CM296" s="587"/>
      <c r="CN296" s="587"/>
    </row>
    <row r="297" spans="1:92" s="1" customFormat="1" ht="12.75">
      <c r="A297" s="578">
        <v>145</v>
      </c>
      <c r="B297" s="89" t="s">
        <v>1147</v>
      </c>
      <c r="C297" s="105" t="s">
        <v>1148</v>
      </c>
      <c r="D297" s="78" t="str">
        <f>P</f>
        <v>. . .</v>
      </c>
      <c r="E297" s="125" t="s">
        <v>1149</v>
      </c>
      <c r="F297" s="163"/>
      <c r="G297" s="217" t="str">
        <f>P</f>
        <v>. . .</v>
      </c>
      <c r="H297" s="71" t="str">
        <f>P</f>
        <v>. . .</v>
      </c>
      <c r="I297" s="78">
        <f>VFVASCIRPARAFBRUTES</f>
        <v>45.730000000000004</v>
      </c>
      <c r="J297" s="78" t="s">
        <v>1150</v>
      </c>
      <c r="K297" s="658" t="s">
        <v>1151</v>
      </c>
      <c r="L297" s="163"/>
      <c r="M297" s="177" t="s">
        <v>1152</v>
      </c>
      <c r="N297" s="178"/>
      <c r="O297" s="179" t="str">
        <f>P</f>
        <v>. . .</v>
      </c>
      <c r="P297" s="113" t="str">
        <f>P</f>
        <v>. . .</v>
      </c>
      <c r="Q297" s="180">
        <f>tvavascirparafbrutmetro</f>
        <v>9.025800000000002</v>
      </c>
      <c r="R297" s="221">
        <f>tvavascirparafbrutecorse</f>
        <v>5.9865</v>
      </c>
      <c r="S297" s="84"/>
      <c r="T297" s="9"/>
      <c r="U297" s="10"/>
      <c r="V297" s="11"/>
      <c r="W297" s="284">
        <v>5916</v>
      </c>
      <c r="X297" s="284"/>
      <c r="Y297" s="170"/>
      <c r="Z297" s="170"/>
      <c r="AA297" s="35"/>
      <c r="AB297" s="19"/>
      <c r="AC297" s="20"/>
      <c r="AD297" s="21"/>
      <c r="AE297" s="653"/>
      <c r="AF297" s="653"/>
      <c r="AG297" s="653"/>
      <c r="AH297" s="653"/>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34"/>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row>
    <row r="298" spans="1:92" s="1" customFormat="1" ht="12.75">
      <c r="A298" s="578">
        <v>146</v>
      </c>
      <c r="B298" s="632" t="s">
        <v>1153</v>
      </c>
      <c r="C298" s="659" t="s">
        <v>1154</v>
      </c>
      <c r="D298" s="73" t="s">
        <v>1155</v>
      </c>
      <c r="E298" s="125">
        <f>TEC27121090</f>
        <v>0</v>
      </c>
      <c r="F298" s="163"/>
      <c r="G298" s="127" t="s">
        <v>1156</v>
      </c>
      <c r="H298" s="128" t="s">
        <v>1157</v>
      </c>
      <c r="I298" s="78">
        <f>VFVASCIRAUTRE</f>
        <v>91.47</v>
      </c>
      <c r="J298" s="78" t="s">
        <v>1158</v>
      </c>
      <c r="K298" s="250">
        <f>ROUND(I298*TEC27121090,2)</f>
        <v>2.01</v>
      </c>
      <c r="L298" s="164"/>
      <c r="M298" s="319" t="s">
        <v>1159</v>
      </c>
      <c r="N298" s="320"/>
      <c r="O298" s="321" t="str">
        <f>P</f>
        <v>. . .</v>
      </c>
      <c r="P298" s="251" t="s">
        <v>1160</v>
      </c>
      <c r="Q298" s="538">
        <f>SUM(I298:P298)*19.6%</f>
        <v>18.322080000000003</v>
      </c>
      <c r="R298" s="221">
        <f>SUM(I298:P298)*13%</f>
        <v>12.1524</v>
      </c>
      <c r="S298" s="84"/>
      <c r="T298" s="596"/>
      <c r="U298" s="597"/>
      <c r="V298" s="598"/>
      <c r="W298" s="284">
        <v>5917</v>
      </c>
      <c r="X298" s="284"/>
      <c r="Y298" s="18">
        <v>9348</v>
      </c>
      <c r="Z298" s="18"/>
      <c r="AA298" s="276"/>
      <c r="AB298" s="19"/>
      <c r="AC298" s="20"/>
      <c r="AD298" s="21"/>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34"/>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row>
    <row r="299" spans="1:92" s="1" customFormat="1" ht="12.75">
      <c r="A299" s="578"/>
      <c r="B299" s="632"/>
      <c r="C299" s="660" t="s">
        <v>1161</v>
      </c>
      <c r="D299" s="73"/>
      <c r="E299" s="125"/>
      <c r="F299" s="163"/>
      <c r="G299" s="127"/>
      <c r="H299" s="128"/>
      <c r="I299" s="78"/>
      <c r="J299" s="78"/>
      <c r="K299" s="164"/>
      <c r="L299" s="164"/>
      <c r="M299" s="177"/>
      <c r="N299" s="178"/>
      <c r="O299" s="179"/>
      <c r="P299" s="113"/>
      <c r="Q299" s="168"/>
      <c r="R299" s="169"/>
      <c r="S299" s="84"/>
      <c r="T299" s="182"/>
      <c r="U299" s="183"/>
      <c r="V299" s="184"/>
      <c r="W299" s="185"/>
      <c r="X299" s="185"/>
      <c r="Y299" s="18">
        <v>9348</v>
      </c>
      <c r="Z299" s="18"/>
      <c r="AA299" s="276"/>
      <c r="AB299" s="19"/>
      <c r="AC299" s="20"/>
      <c r="AD299" s="21"/>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34"/>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row>
    <row r="300" spans="1:92" s="1" customFormat="1" ht="12.75">
      <c r="A300" s="578">
        <v>147</v>
      </c>
      <c r="B300" s="632" t="s">
        <v>1162</v>
      </c>
      <c r="C300" s="637" t="s">
        <v>1163</v>
      </c>
      <c r="D300" s="73" t="str">
        <f>P</f>
        <v>. . .</v>
      </c>
      <c r="E300" s="125" t="s">
        <v>1164</v>
      </c>
      <c r="F300" s="163"/>
      <c r="G300" s="127" t="str">
        <f>P</f>
        <v>. . .</v>
      </c>
      <c r="H300" s="128" t="str">
        <f>P</f>
        <v>. . .</v>
      </c>
      <c r="I300" s="78">
        <f>VFPARAFAUTRES</f>
        <v>60.980000000000004</v>
      </c>
      <c r="J300" s="78" t="s">
        <v>1165</v>
      </c>
      <c r="K300" s="164" t="s">
        <v>1166</v>
      </c>
      <c r="L300" s="164"/>
      <c r="M300" s="177" t="s">
        <v>1167</v>
      </c>
      <c r="N300" s="178"/>
      <c r="O300" s="179" t="str">
        <f>P</f>
        <v>. . .</v>
      </c>
      <c r="P300" s="113" t="str">
        <f>P</f>
        <v>. . .</v>
      </c>
      <c r="Q300" s="180">
        <f>TVAPARAFAUTREMETRO</f>
        <v>12.214720000000002</v>
      </c>
      <c r="R300" s="221">
        <f>TVAPARAFAUTRECORSE</f>
        <v>8.101600000000001</v>
      </c>
      <c r="S300" s="84"/>
      <c r="T300" s="9"/>
      <c r="U300" s="10"/>
      <c r="V300" s="11"/>
      <c r="W300" s="219">
        <v>5918</v>
      </c>
      <c r="X300" s="219"/>
      <c r="Y300" s="170"/>
      <c r="Z300" s="170"/>
      <c r="AA300" s="170"/>
      <c r="AB300" s="19"/>
      <c r="AC300" s="20"/>
      <c r="AD300" s="21"/>
      <c r="AE300" s="22"/>
      <c r="AF300" s="22"/>
      <c r="AG300" s="22"/>
      <c r="AH300" s="22"/>
      <c r="AI300" s="653"/>
      <c r="AJ300" s="653"/>
      <c r="AK300" s="653"/>
      <c r="AL300" s="653"/>
      <c r="AM300" s="653"/>
      <c r="AN300" s="653"/>
      <c r="AO300" s="653"/>
      <c r="AP300" s="653"/>
      <c r="AQ300" s="653"/>
      <c r="AR300" s="653"/>
      <c r="AS300" s="653"/>
      <c r="AT300" s="653"/>
      <c r="AU300" s="653"/>
      <c r="AV300" s="653"/>
      <c r="AW300" s="653"/>
      <c r="AX300" s="653"/>
      <c r="AY300" s="653"/>
      <c r="AZ300" s="653"/>
      <c r="BA300" s="653"/>
      <c r="BB300" s="653"/>
      <c r="BC300" s="653"/>
      <c r="BD300" s="653"/>
      <c r="BE300" s="653"/>
      <c r="BF300" s="653"/>
      <c r="BG300" s="34"/>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row>
    <row r="301" spans="1:92" s="1" customFormat="1" ht="12.75">
      <c r="A301" s="578">
        <v>148</v>
      </c>
      <c r="B301" s="632" t="s">
        <v>1168</v>
      </c>
      <c r="C301" s="637" t="s">
        <v>1169</v>
      </c>
      <c r="D301" s="73" t="s">
        <v>1170</v>
      </c>
      <c r="E301" s="125">
        <f>TEC27122090</f>
        <v>0</v>
      </c>
      <c r="F301" s="163"/>
      <c r="G301" s="127" t="s">
        <v>1171</v>
      </c>
      <c r="H301" s="128" t="s">
        <v>1172</v>
      </c>
      <c r="I301" s="78">
        <f>VFPARAFAUTRES</f>
        <v>60.980000000000004</v>
      </c>
      <c r="J301" s="78" t="s">
        <v>1173</v>
      </c>
      <c r="K301" s="250">
        <f>ROUND(I301*TEC27122090,2)</f>
        <v>1.34</v>
      </c>
      <c r="L301" s="164"/>
      <c r="M301" s="177" t="s">
        <v>1174</v>
      </c>
      <c r="N301" s="178"/>
      <c r="O301" s="179" t="str">
        <f>P</f>
        <v>. . .</v>
      </c>
      <c r="P301" s="113" t="s">
        <v>1175</v>
      </c>
      <c r="Q301" s="180">
        <f>SUM(I301:P301)*19.6%</f>
        <v>12.214720000000002</v>
      </c>
      <c r="R301" s="221">
        <f>SUM(I301:P301)*13%</f>
        <v>8.101600000000001</v>
      </c>
      <c r="S301" s="84"/>
      <c r="T301" s="9"/>
      <c r="U301" s="10"/>
      <c r="V301" s="11"/>
      <c r="W301" s="219">
        <v>5918</v>
      </c>
      <c r="X301" s="219"/>
      <c r="Y301" s="170">
        <v>9052</v>
      </c>
      <c r="Z301" s="170">
        <v>9348</v>
      </c>
      <c r="AA301" s="18"/>
      <c r="AB301" s="19"/>
      <c r="AC301" s="20"/>
      <c r="AD301" s="21"/>
      <c r="AE301" s="22"/>
      <c r="AF301" s="22"/>
      <c r="AG301" s="22"/>
      <c r="AH301" s="22"/>
      <c r="AI301" s="22">
        <v>0</v>
      </c>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34"/>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row>
    <row r="302" spans="1:92" s="1" customFormat="1" ht="12.75">
      <c r="A302" s="578"/>
      <c r="B302" s="632"/>
      <c r="C302" s="660" t="s">
        <v>1176</v>
      </c>
      <c r="D302" s="73"/>
      <c r="E302" s="125"/>
      <c r="F302" s="163"/>
      <c r="G302" s="127"/>
      <c r="H302" s="128"/>
      <c r="I302" s="78"/>
      <c r="J302" s="78"/>
      <c r="K302" s="164"/>
      <c r="L302" s="164"/>
      <c r="M302" s="177"/>
      <c r="N302" s="178"/>
      <c r="O302" s="179"/>
      <c r="P302" s="113"/>
      <c r="Q302" s="168"/>
      <c r="R302" s="181"/>
      <c r="S302" s="283"/>
      <c r="T302" s="182"/>
      <c r="U302" s="183"/>
      <c r="V302" s="184"/>
      <c r="W302" s="185"/>
      <c r="X302" s="185"/>
      <c r="Y302" s="170"/>
      <c r="Z302" s="170"/>
      <c r="AA302" s="18"/>
      <c r="AB302" s="19"/>
      <c r="AC302" s="20"/>
      <c r="AD302" s="21"/>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34"/>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row>
    <row r="303" spans="1:92" s="1" customFormat="1" ht="12.75">
      <c r="A303" s="578">
        <v>149</v>
      </c>
      <c r="B303" s="632" t="s">
        <v>1177</v>
      </c>
      <c r="C303" s="637" t="s">
        <v>1178</v>
      </c>
      <c r="D303" s="73" t="s">
        <v>1179</v>
      </c>
      <c r="E303" s="125" t="s">
        <v>1180</v>
      </c>
      <c r="F303" s="163"/>
      <c r="G303" s="127" t="s">
        <v>1181</v>
      </c>
      <c r="H303" s="128" t="s">
        <v>1182</v>
      </c>
      <c r="I303" s="78" t="s">
        <v>1183</v>
      </c>
      <c r="J303" s="78" t="s">
        <v>1184</v>
      </c>
      <c r="K303" s="252" t="s">
        <v>1185</v>
      </c>
      <c r="L303" s="164"/>
      <c r="M303" s="97" t="str">
        <f>"(3)"</f>
        <v>(3)</v>
      </c>
      <c r="N303" s="178"/>
      <c r="O303" s="97" t="str">
        <f>P</f>
        <v>. . .</v>
      </c>
      <c r="P303" s="78" t="str">
        <f>"(3)"</f>
        <v>(3)</v>
      </c>
      <c r="Q303" s="113" t="str">
        <f>"(3)"</f>
        <v>(3)</v>
      </c>
      <c r="R303" s="193" t="str">
        <f>"(3)"</f>
        <v>(3)</v>
      </c>
      <c r="S303" s="283"/>
      <c r="T303" s="9"/>
      <c r="U303" s="10"/>
      <c r="V303" s="11"/>
      <c r="W303" s="185" t="str">
        <f>t</f>
        <v>TVO</v>
      </c>
      <c r="X303" s="185">
        <v>5930</v>
      </c>
      <c r="Y303" s="170">
        <v>9052</v>
      </c>
      <c r="Z303" s="170">
        <v>9348</v>
      </c>
      <c r="AA303" s="170"/>
      <c r="AB303" s="19"/>
      <c r="AC303" s="20"/>
      <c r="AD303" s="21"/>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34"/>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row>
    <row r="304" spans="1:92" s="1" customFormat="1" ht="12.75">
      <c r="A304" s="578">
        <v>150</v>
      </c>
      <c r="B304" s="632" t="s">
        <v>1186</v>
      </c>
      <c r="C304" s="637" t="s">
        <v>1187</v>
      </c>
      <c r="D304" s="73"/>
      <c r="E304" s="125"/>
      <c r="F304" s="163"/>
      <c r="G304" s="127"/>
      <c r="H304" s="128"/>
      <c r="I304" s="78"/>
      <c r="J304" s="78"/>
      <c r="K304" s="164"/>
      <c r="L304" s="164"/>
      <c r="M304" s="177"/>
      <c r="N304" s="178"/>
      <c r="O304" s="179"/>
      <c r="P304" s="113"/>
      <c r="Q304" s="168"/>
      <c r="R304" s="169"/>
      <c r="S304" s="189"/>
      <c r="T304" s="9"/>
      <c r="U304" s="10"/>
      <c r="V304" s="11"/>
      <c r="W304" s="185"/>
      <c r="X304" s="185"/>
      <c r="Y304" s="35">
        <v>9348</v>
      </c>
      <c r="Z304" s="35"/>
      <c r="AA304" s="170"/>
      <c r="AB304" s="19"/>
      <c r="AC304" s="20"/>
      <c r="AD304" s="21"/>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34"/>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row>
    <row r="305" spans="1:92" s="1" customFormat="1" ht="12.75">
      <c r="A305" s="578"/>
      <c r="B305" s="632"/>
      <c r="C305" s="637" t="s">
        <v>1188</v>
      </c>
      <c r="D305" s="73" t="s">
        <v>1189</v>
      </c>
      <c r="E305" s="125" t="s">
        <v>1190</v>
      </c>
      <c r="F305" s="163"/>
      <c r="G305" s="127" t="s">
        <v>1191</v>
      </c>
      <c r="H305" s="128" t="s">
        <v>1192</v>
      </c>
      <c r="I305" s="78" t="s">
        <v>1193</v>
      </c>
      <c r="J305" s="78" t="s">
        <v>1194</v>
      </c>
      <c r="K305" s="252" t="s">
        <v>1195</v>
      </c>
      <c r="L305" s="164"/>
      <c r="M305" s="97" t="str">
        <f>"(3)"</f>
        <v>(3)</v>
      </c>
      <c r="N305" s="178"/>
      <c r="O305" s="97" t="str">
        <f>P</f>
        <v>. . .</v>
      </c>
      <c r="P305" s="78" t="str">
        <f>"(3)"</f>
        <v>(3)</v>
      </c>
      <c r="Q305" s="113" t="str">
        <f>"(3)"</f>
        <v>(3)</v>
      </c>
      <c r="R305" s="193" t="str">
        <f>"(3)"</f>
        <v>(3)</v>
      </c>
      <c r="S305" s="57"/>
      <c r="T305" s="9"/>
      <c r="U305" s="10"/>
      <c r="V305" s="11"/>
      <c r="W305" s="185" t="str">
        <f>t</f>
        <v>TVO</v>
      </c>
      <c r="X305" s="185">
        <v>5930</v>
      </c>
      <c r="Y305" s="170"/>
      <c r="Z305" s="170"/>
      <c r="AA305" s="18"/>
      <c r="AB305" s="19"/>
      <c r="AC305" s="20"/>
      <c r="AD305" s="21"/>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34"/>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row>
    <row r="306" spans="1:92" s="1" customFormat="1" ht="12.75">
      <c r="A306" s="578">
        <v>151</v>
      </c>
      <c r="B306" s="89" t="s">
        <v>1196</v>
      </c>
      <c r="C306" s="107" t="s">
        <v>1197</v>
      </c>
      <c r="D306" s="78" t="str">
        <f>P</f>
        <v>. . .</v>
      </c>
      <c r="E306" s="125">
        <f>TEC27129039</f>
        <v>0</v>
      </c>
      <c r="F306" s="163"/>
      <c r="G306" s="217" t="str">
        <f>P</f>
        <v>. . .</v>
      </c>
      <c r="H306" s="71" t="str">
        <f>P</f>
        <v>. . .</v>
      </c>
      <c r="I306" s="78">
        <f>VFVASCIRPARAFBRUTES</f>
        <v>45.730000000000004</v>
      </c>
      <c r="J306" s="78" t="s">
        <v>1198</v>
      </c>
      <c r="K306" s="218">
        <f>ROUND(I306*TEC27129039,2)</f>
        <v>0.32</v>
      </c>
      <c r="L306" s="163"/>
      <c r="M306" s="177" t="s">
        <v>1199</v>
      </c>
      <c r="N306" s="178"/>
      <c r="O306" s="179" t="str">
        <f>P</f>
        <v>. . .</v>
      </c>
      <c r="P306" s="113" t="str">
        <f>P</f>
        <v>. . .</v>
      </c>
      <c r="Q306" s="180">
        <f>SUM(I306:P306)*19.6%</f>
        <v>9.025800000000002</v>
      </c>
      <c r="R306" s="221">
        <f>SUM(I306:P306)*13%</f>
        <v>5.9865</v>
      </c>
      <c r="S306" s="189"/>
      <c r="T306" s="9"/>
      <c r="U306" s="10"/>
      <c r="V306" s="440"/>
      <c r="W306" s="285">
        <v>5916</v>
      </c>
      <c r="X306" s="285"/>
      <c r="Y306" s="170"/>
      <c r="Z306" s="170"/>
      <c r="AA306" s="35"/>
      <c r="AB306" s="19"/>
      <c r="AC306" s="20"/>
      <c r="AD306" s="21"/>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34"/>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row>
    <row r="307" spans="1:92" s="1" customFormat="1" ht="12.75">
      <c r="A307" s="578"/>
      <c r="B307" s="634"/>
      <c r="C307" s="655" t="s">
        <v>1200</v>
      </c>
      <c r="D307" s="263"/>
      <c r="E307" s="264"/>
      <c r="F307" s="265"/>
      <c r="G307" s="266"/>
      <c r="H307" s="267"/>
      <c r="I307" s="268"/>
      <c r="J307" s="268"/>
      <c r="K307" s="269"/>
      <c r="L307" s="269"/>
      <c r="M307" s="270"/>
      <c r="N307" s="271"/>
      <c r="O307" s="272"/>
      <c r="P307" s="294"/>
      <c r="Q307" s="274"/>
      <c r="R307" s="169"/>
      <c r="S307" s="189"/>
      <c r="T307" s="9"/>
      <c r="U307" s="10"/>
      <c r="V307" s="11"/>
      <c r="W307" s="185"/>
      <c r="X307" s="185"/>
      <c r="Y307" s="18"/>
      <c r="Z307" s="18"/>
      <c r="AA307" s="18"/>
      <c r="AB307" s="19"/>
      <c r="AC307" s="20"/>
      <c r="AD307" s="21"/>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34"/>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row>
    <row r="308" spans="1:92" s="1" customFormat="1" ht="12.75">
      <c r="A308" s="578"/>
      <c r="B308" s="632"/>
      <c r="C308" s="633" t="s">
        <v>1201</v>
      </c>
      <c r="D308" s="73"/>
      <c r="E308" s="125"/>
      <c r="F308" s="163"/>
      <c r="G308" s="127"/>
      <c r="H308" s="128"/>
      <c r="I308" s="78"/>
      <c r="J308" s="78"/>
      <c r="K308" s="164"/>
      <c r="L308" s="164"/>
      <c r="M308" s="177"/>
      <c r="N308" s="178"/>
      <c r="O308" s="179"/>
      <c r="P308" s="113"/>
      <c r="Q308" s="168"/>
      <c r="R308" s="169"/>
      <c r="S308" s="84"/>
      <c r="T308" s="9"/>
      <c r="U308" s="10"/>
      <c r="V308" s="11"/>
      <c r="W308" s="185"/>
      <c r="X308" s="185"/>
      <c r="Y308" s="18">
        <v>9348</v>
      </c>
      <c r="Z308" s="18"/>
      <c r="AA308" s="170"/>
      <c r="AB308" s="237"/>
      <c r="AC308" s="20"/>
      <c r="AD308" s="21"/>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34"/>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row>
    <row r="309" spans="1:92" s="1" customFormat="1" ht="12.75">
      <c r="A309" s="578"/>
      <c r="B309" s="632"/>
      <c r="C309" s="633" t="s">
        <v>1202</v>
      </c>
      <c r="D309" s="73"/>
      <c r="E309" s="125"/>
      <c r="F309" s="163"/>
      <c r="G309" s="127"/>
      <c r="H309" s="128"/>
      <c r="I309" s="78"/>
      <c r="J309" s="78"/>
      <c r="K309" s="164"/>
      <c r="L309" s="164"/>
      <c r="M309" s="177"/>
      <c r="N309" s="178"/>
      <c r="O309" s="179"/>
      <c r="P309" s="113"/>
      <c r="Q309" s="113"/>
      <c r="R309" s="193"/>
      <c r="S309" s="57"/>
      <c r="T309" s="9"/>
      <c r="U309" s="10"/>
      <c r="V309" s="11"/>
      <c r="W309" s="61"/>
      <c r="X309" s="61"/>
      <c r="Y309" s="35">
        <v>9348</v>
      </c>
      <c r="Z309" s="35"/>
      <c r="AA309" s="170"/>
      <c r="AB309" s="237"/>
      <c r="AC309" s="20"/>
      <c r="AD309" s="21"/>
      <c r="AE309" s="22"/>
      <c r="AF309" s="22"/>
      <c r="AG309" s="22"/>
      <c r="AH309" s="22"/>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row>
    <row r="310" spans="1:92" s="1" customFormat="1" ht="12.75">
      <c r="A310" s="578">
        <v>152</v>
      </c>
      <c r="B310" s="632" t="s">
        <v>1203</v>
      </c>
      <c r="C310" s="633" t="s">
        <v>1204</v>
      </c>
      <c r="D310" s="73" t="str">
        <f>P</f>
        <v>. . .</v>
      </c>
      <c r="E310" s="125" t="s">
        <v>1205</v>
      </c>
      <c r="F310" s="163"/>
      <c r="G310" s="127" t="str">
        <f>P</f>
        <v>. . .</v>
      </c>
      <c r="H310" s="128" t="str">
        <f>P</f>
        <v>. . .</v>
      </c>
      <c r="I310" s="78">
        <f>VFVASCIRAUTRE</f>
        <v>91.47</v>
      </c>
      <c r="J310" s="78" t="s">
        <v>1206</v>
      </c>
      <c r="K310" s="164" t="s">
        <v>1207</v>
      </c>
      <c r="L310" s="164"/>
      <c r="M310" s="177" t="s">
        <v>1208</v>
      </c>
      <c r="N310" s="178"/>
      <c r="O310" s="179" t="str">
        <f>P</f>
        <v>. . .</v>
      </c>
      <c r="P310" s="113" t="str">
        <f>P</f>
        <v>. . .</v>
      </c>
      <c r="Q310" s="180">
        <f>TVAVASCIREAUTMETRO</f>
        <v>18.322080000000003</v>
      </c>
      <c r="R310" s="181">
        <f>TVAVASCIREAUTCORSE</f>
        <v>12.1524</v>
      </c>
      <c r="S310" s="84"/>
      <c r="T310" s="9"/>
      <c r="U310" s="10"/>
      <c r="V310" s="11"/>
      <c r="W310" s="219">
        <v>5917</v>
      </c>
      <c r="X310" s="219"/>
      <c r="Y310" s="170"/>
      <c r="Z310" s="170"/>
      <c r="AA310" s="18"/>
      <c r="AB310" s="237"/>
      <c r="AC310" s="20"/>
      <c r="AD310" s="21"/>
      <c r="AE310" s="22"/>
      <c r="AF310" s="22"/>
      <c r="AG310" s="22"/>
      <c r="AH310" s="22"/>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row>
    <row r="311" spans="1:92" s="1" customFormat="1" ht="12.75">
      <c r="A311" s="578">
        <v>153</v>
      </c>
      <c r="B311" s="632" t="s">
        <v>1209</v>
      </c>
      <c r="C311" s="633" t="s">
        <v>1210</v>
      </c>
      <c r="D311" s="73" t="str">
        <f>P</f>
        <v>. . .</v>
      </c>
      <c r="E311" s="125" t="s">
        <v>1211</v>
      </c>
      <c r="F311" s="163"/>
      <c r="G311" s="127" t="str">
        <f>P</f>
        <v>. . .</v>
      </c>
      <c r="H311" s="128" t="str">
        <f>P</f>
        <v>. . .</v>
      </c>
      <c r="I311" s="78">
        <f>VFPARAFAUTRES</f>
        <v>60.980000000000004</v>
      </c>
      <c r="J311" s="78" t="s">
        <v>1212</v>
      </c>
      <c r="K311" s="164" t="s">
        <v>1213</v>
      </c>
      <c r="L311" s="164"/>
      <c r="M311" s="177" t="s">
        <v>1214</v>
      </c>
      <c r="N311" s="178"/>
      <c r="O311" s="179" t="str">
        <f>P</f>
        <v>. . .</v>
      </c>
      <c r="P311" s="113" t="str">
        <f>P</f>
        <v>. . .</v>
      </c>
      <c r="Q311" s="180">
        <f>TVAPARAFAUTREMETRO</f>
        <v>12.214720000000002</v>
      </c>
      <c r="R311" s="181">
        <f>TVAPARAFAUTRECORSE</f>
        <v>8.101600000000001</v>
      </c>
      <c r="S311" s="57"/>
      <c r="T311" s="9"/>
      <c r="U311" s="10"/>
      <c r="V311" s="11"/>
      <c r="W311" s="285">
        <v>5918</v>
      </c>
      <c r="X311" s="285"/>
      <c r="Y311" s="170"/>
      <c r="Z311" s="170"/>
      <c r="AA311" s="18"/>
      <c r="AB311" s="237"/>
      <c r="AC311" s="20"/>
      <c r="AD311" s="21"/>
      <c r="AE311" s="22"/>
      <c r="AF311" s="22"/>
      <c r="AG311" s="22"/>
      <c r="AH311" s="22"/>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row>
    <row r="312" spans="1:92" s="1" customFormat="1" ht="12.75">
      <c r="A312" s="578"/>
      <c r="B312" s="632"/>
      <c r="C312" s="633" t="s">
        <v>1215</v>
      </c>
      <c r="D312" s="73"/>
      <c r="E312" s="125"/>
      <c r="F312" s="163"/>
      <c r="G312" s="127"/>
      <c r="H312" s="128"/>
      <c r="I312" s="78"/>
      <c r="J312" s="78"/>
      <c r="K312" s="164"/>
      <c r="L312" s="164"/>
      <c r="M312" s="177"/>
      <c r="N312" s="178"/>
      <c r="O312" s="179"/>
      <c r="P312" s="113"/>
      <c r="Q312" s="180"/>
      <c r="R312" s="181"/>
      <c r="S312" s="189"/>
      <c r="T312" s="182"/>
      <c r="U312" s="183"/>
      <c r="V312" s="184"/>
      <c r="W312" s="185"/>
      <c r="X312" s="185"/>
      <c r="Y312" s="170"/>
      <c r="Z312" s="170"/>
      <c r="AA312" s="35"/>
      <c r="AB312" s="237"/>
      <c r="AC312" s="20"/>
      <c r="AD312" s="21"/>
      <c r="AE312" s="22"/>
      <c r="AF312" s="22"/>
      <c r="AG312" s="22"/>
      <c r="AH312" s="22"/>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row>
    <row r="313" spans="1:92" s="1" customFormat="1" ht="12.75">
      <c r="A313" s="578"/>
      <c r="B313" s="632"/>
      <c r="C313" s="633" t="s">
        <v>1216</v>
      </c>
      <c r="D313" s="73"/>
      <c r="E313" s="125"/>
      <c r="F313" s="163"/>
      <c r="G313" s="127"/>
      <c r="H313" s="128"/>
      <c r="I313" s="78"/>
      <c r="J313" s="78"/>
      <c r="K313" s="164"/>
      <c r="L313" s="164"/>
      <c r="M313" s="177"/>
      <c r="N313" s="178"/>
      <c r="O313" s="179"/>
      <c r="P313" s="113"/>
      <c r="Q313" s="180"/>
      <c r="R313" s="181"/>
      <c r="S313" s="189"/>
      <c r="T313" s="182"/>
      <c r="U313" s="183"/>
      <c r="V313" s="184"/>
      <c r="W313" s="185"/>
      <c r="X313" s="185"/>
      <c r="Y313" s="170">
        <v>9348</v>
      </c>
      <c r="Z313" s="170"/>
      <c r="AA313" s="170"/>
      <c r="AB313" s="237"/>
      <c r="AC313" s="20"/>
      <c r="AD313" s="21"/>
      <c r="AE313" s="22"/>
      <c r="AF313" s="22"/>
      <c r="AG313" s="22"/>
      <c r="AH313" s="22"/>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row>
    <row r="314" spans="1:92" s="1" customFormat="1" ht="12.75">
      <c r="A314" s="578"/>
      <c r="B314" s="632"/>
      <c r="C314" s="633" t="s">
        <v>1217</v>
      </c>
      <c r="D314" s="73"/>
      <c r="E314" s="125"/>
      <c r="F314" s="163"/>
      <c r="G314" s="127"/>
      <c r="H314" s="128"/>
      <c r="I314" s="78"/>
      <c r="J314" s="78"/>
      <c r="K314" s="164"/>
      <c r="L314" s="164"/>
      <c r="M314" s="177"/>
      <c r="N314" s="178"/>
      <c r="O314" s="179"/>
      <c r="P314" s="113"/>
      <c r="Q314" s="180"/>
      <c r="R314" s="181"/>
      <c r="S314" s="57"/>
      <c r="T314" s="182"/>
      <c r="U314" s="183"/>
      <c r="V314" s="184"/>
      <c r="W314" s="185"/>
      <c r="X314" s="185"/>
      <c r="Y314" s="170">
        <v>9348</v>
      </c>
      <c r="Z314" s="170"/>
      <c r="AA314" s="170"/>
      <c r="AB314" s="237"/>
      <c r="AC314" s="20"/>
      <c r="AD314" s="21"/>
      <c r="AE314" s="22"/>
      <c r="AF314" s="22"/>
      <c r="AG314" s="22"/>
      <c r="AH314" s="22"/>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row>
    <row r="315" spans="1:92" s="603" customFormat="1" ht="12.75">
      <c r="A315" s="578">
        <v>154</v>
      </c>
      <c r="B315" s="632" t="s">
        <v>1218</v>
      </c>
      <c r="C315" s="633" t="s">
        <v>1219</v>
      </c>
      <c r="D315" s="73" t="s">
        <v>1220</v>
      </c>
      <c r="E315" s="125">
        <f>TEC27129099</f>
        <v>0</v>
      </c>
      <c r="F315" s="71"/>
      <c r="G315" s="127" t="s">
        <v>1221</v>
      </c>
      <c r="H315" s="128" t="s">
        <v>1222</v>
      </c>
      <c r="I315" s="78">
        <f>VFVASCIRAUTRE</f>
        <v>91.47</v>
      </c>
      <c r="J315" s="78" t="s">
        <v>1223</v>
      </c>
      <c r="K315" s="661">
        <f>ROUND(I315*TEC27129099,2)</f>
        <v>2.01</v>
      </c>
      <c r="L315" s="662"/>
      <c r="M315" s="177" t="s">
        <v>1224</v>
      </c>
      <c r="N315" s="178"/>
      <c r="O315" s="179" t="str">
        <f>P</f>
        <v>. . .</v>
      </c>
      <c r="P315" s="113" t="s">
        <v>1225</v>
      </c>
      <c r="Q315" s="180">
        <f>TVAVASCIREAUTMETRO</f>
        <v>18.322080000000003</v>
      </c>
      <c r="R315" s="181">
        <f>TVAVASCIREAUTCORSE</f>
        <v>12.1524</v>
      </c>
      <c r="S315" s="57"/>
      <c r="T315" s="9"/>
      <c r="U315" s="10"/>
      <c r="V315" s="11"/>
      <c r="W315" s="190">
        <v>5917</v>
      </c>
      <c r="X315" s="190"/>
      <c r="Y315" s="170"/>
      <c r="Z315" s="170"/>
      <c r="AA315" s="170"/>
      <c r="AB315" s="237"/>
      <c r="AC315" s="20"/>
      <c r="AD315" s="21"/>
      <c r="AE315" s="22"/>
      <c r="AF315" s="22"/>
      <c r="AG315" s="22"/>
      <c r="AH315" s="22"/>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row>
    <row r="316" spans="1:92" s="1" customFormat="1" ht="12.75">
      <c r="A316" s="578">
        <v>155</v>
      </c>
      <c r="B316" s="632" t="s">
        <v>1226</v>
      </c>
      <c r="C316" s="633" t="s">
        <v>1227</v>
      </c>
      <c r="D316" s="73" t="s">
        <v>1228</v>
      </c>
      <c r="E316" s="125">
        <f>TEC27129099</f>
        <v>0</v>
      </c>
      <c r="F316" s="71"/>
      <c r="G316" s="127" t="s">
        <v>1229</v>
      </c>
      <c r="H316" s="128" t="s">
        <v>1230</v>
      </c>
      <c r="I316" s="78">
        <f>VFPARAFAUTRES</f>
        <v>60.980000000000004</v>
      </c>
      <c r="J316" s="78" t="s">
        <v>1231</v>
      </c>
      <c r="K316" s="661">
        <f>ROUND(I316*TEC27129099,2)</f>
        <v>1.34</v>
      </c>
      <c r="L316" s="662"/>
      <c r="M316" s="177" t="s">
        <v>1232</v>
      </c>
      <c r="N316" s="178"/>
      <c r="O316" s="179" t="str">
        <f>P</f>
        <v>. . .</v>
      </c>
      <c r="P316" s="113" t="s">
        <v>1233</v>
      </c>
      <c r="Q316" s="180">
        <f>TVAPARAFAUTREMETRO</f>
        <v>12.214720000000002</v>
      </c>
      <c r="R316" s="181">
        <f>TVAPARAFAUTRECORSE</f>
        <v>8.101600000000001</v>
      </c>
      <c r="S316" s="199"/>
      <c r="T316" s="9"/>
      <c r="U316" s="10"/>
      <c r="V316" s="11"/>
      <c r="W316" s="190">
        <v>5918</v>
      </c>
      <c r="X316" s="190"/>
      <c r="Y316" s="170">
        <v>9348</v>
      </c>
      <c r="Z316" s="170"/>
      <c r="AA316" s="170"/>
      <c r="AB316" s="237"/>
      <c r="AC316" s="20"/>
      <c r="AD316" s="132"/>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row>
    <row r="317" spans="1:92" s="1" customFormat="1" ht="12.75">
      <c r="A317" s="578"/>
      <c r="B317" s="632"/>
      <c r="C317" s="633" t="s">
        <v>1234</v>
      </c>
      <c r="D317" s="73"/>
      <c r="E317" s="125"/>
      <c r="F317" s="163"/>
      <c r="G317" s="127"/>
      <c r="H317" s="128"/>
      <c r="I317" s="78"/>
      <c r="J317" s="78"/>
      <c r="K317" s="661"/>
      <c r="L317" s="164"/>
      <c r="M317" s="177"/>
      <c r="N317" s="178"/>
      <c r="O317" s="179"/>
      <c r="P317" s="113"/>
      <c r="Q317" s="168"/>
      <c r="R317" s="169"/>
      <c r="S317" s="189"/>
      <c r="T317" s="9"/>
      <c r="U317" s="10"/>
      <c r="V317" s="11"/>
      <c r="W317" s="185"/>
      <c r="X317" s="185"/>
      <c r="Y317" s="18">
        <v>9348</v>
      </c>
      <c r="Z317" s="18"/>
      <c r="AA317" s="170"/>
      <c r="AB317" s="237"/>
      <c r="AC317" s="20"/>
      <c r="AD317" s="132"/>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row>
    <row r="318" spans="1:92" s="1" customFormat="1" ht="12.75">
      <c r="A318" s="578">
        <v>156</v>
      </c>
      <c r="B318" s="632" t="s">
        <v>1235</v>
      </c>
      <c r="C318" s="633" t="s">
        <v>1236</v>
      </c>
      <c r="D318" s="73" t="str">
        <f>P</f>
        <v>. . .</v>
      </c>
      <c r="E318" s="125">
        <f>TEC27129099</f>
        <v>0</v>
      </c>
      <c r="F318" s="163"/>
      <c r="G318" s="127" t="str">
        <f>P</f>
        <v>. . .</v>
      </c>
      <c r="H318" s="128" t="str">
        <f>P</f>
        <v>. . .</v>
      </c>
      <c r="I318" s="78">
        <f>VFVASCIRAUTRE</f>
        <v>91.47</v>
      </c>
      <c r="J318" s="78" t="s">
        <v>1237</v>
      </c>
      <c r="K318" s="661">
        <f>ROUND(I318*TEC27129099,2)</f>
        <v>2.01</v>
      </c>
      <c r="L318" s="164"/>
      <c r="M318" s="177" t="s">
        <v>1238</v>
      </c>
      <c r="N318" s="178"/>
      <c r="O318" s="179" t="str">
        <f>P</f>
        <v>. . .</v>
      </c>
      <c r="P318" s="113" t="str">
        <f>P</f>
        <v>. . .</v>
      </c>
      <c r="Q318" s="180">
        <f>TVAVASCIREAUTMETRO</f>
        <v>18.322080000000003</v>
      </c>
      <c r="R318" s="181">
        <f>TVAVASCIREAUTCORSE</f>
        <v>12.1524</v>
      </c>
      <c r="S318" s="189"/>
      <c r="T318" s="9"/>
      <c r="U318" s="10"/>
      <c r="V318" s="11"/>
      <c r="W318" s="190">
        <v>5917</v>
      </c>
      <c r="X318" s="190"/>
      <c r="Y318" s="170"/>
      <c r="Z318" s="170"/>
      <c r="AA318" s="170"/>
      <c r="AB318" s="237"/>
      <c r="AC318" s="20"/>
      <c r="AD318" s="132"/>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row>
    <row r="319" spans="1:92" s="1" customFormat="1" ht="12.75">
      <c r="A319" s="578">
        <v>157</v>
      </c>
      <c r="B319" s="632" t="s">
        <v>1239</v>
      </c>
      <c r="C319" s="633" t="s">
        <v>1240</v>
      </c>
      <c r="D319" s="73" t="s">
        <v>1241</v>
      </c>
      <c r="E319" s="125">
        <f>TEC27129099</f>
        <v>0</v>
      </c>
      <c r="F319" s="163"/>
      <c r="G319" s="127" t="s">
        <v>1242</v>
      </c>
      <c r="H319" s="128" t="s">
        <v>1243</v>
      </c>
      <c r="I319" s="78">
        <f>VFPARAFAUTRES</f>
        <v>60.980000000000004</v>
      </c>
      <c r="J319" s="78" t="s">
        <v>1244</v>
      </c>
      <c r="K319" s="661">
        <f>ROUND(I319*TEC27129099,2)</f>
        <v>1.34</v>
      </c>
      <c r="L319" s="164"/>
      <c r="M319" s="177" t="s">
        <v>1245</v>
      </c>
      <c r="N319" s="178"/>
      <c r="O319" s="179" t="str">
        <f>P</f>
        <v>. . .</v>
      </c>
      <c r="P319" s="113" t="s">
        <v>1246</v>
      </c>
      <c r="Q319" s="180">
        <f>TVAPARAFAUTREMETRO</f>
        <v>12.214720000000002</v>
      </c>
      <c r="R319" s="181">
        <f>TVAPARAFAUTRECORSE</f>
        <v>8.101600000000001</v>
      </c>
      <c r="S319" s="189"/>
      <c r="T319" s="9"/>
      <c r="U319" s="10"/>
      <c r="V319" s="11"/>
      <c r="W319" s="219">
        <v>5918</v>
      </c>
      <c r="X319" s="219"/>
      <c r="Y319" s="170"/>
      <c r="Z319" s="170"/>
      <c r="AA319" s="170"/>
      <c r="AB319" s="237"/>
      <c r="AC319" s="20"/>
      <c r="AD319" s="132"/>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row>
    <row r="320" spans="1:92" s="564" customFormat="1" ht="12.75">
      <c r="A320" s="614"/>
      <c r="B320" s="641"/>
      <c r="C320" s="641"/>
      <c r="D320" s="225"/>
      <c r="E320" s="226"/>
      <c r="F320" s="227"/>
      <c r="G320" s="229"/>
      <c r="H320" s="229"/>
      <c r="I320" s="230"/>
      <c r="J320" s="230"/>
      <c r="K320" s="453"/>
      <c r="L320" s="231"/>
      <c r="M320" s="232"/>
      <c r="N320" s="663"/>
      <c r="O320" s="235"/>
      <c r="P320" s="235"/>
      <c r="Q320" s="550"/>
      <c r="R320" s="454"/>
      <c r="S320" s="617"/>
      <c r="T320" s="664"/>
      <c r="U320" s="665"/>
      <c r="V320" s="666"/>
      <c r="W320" s="667"/>
      <c r="X320" s="667"/>
      <c r="Y320" s="557"/>
      <c r="Z320" s="557"/>
      <c r="AA320" s="620"/>
      <c r="AB320" s="668"/>
      <c r="AC320" s="559"/>
      <c r="AD320" s="669"/>
      <c r="AE320" s="586"/>
      <c r="AF320" s="586"/>
      <c r="AG320" s="586"/>
      <c r="AH320" s="586"/>
      <c r="AI320" s="586"/>
      <c r="AJ320" s="586"/>
      <c r="AK320" s="586"/>
      <c r="AL320" s="586"/>
      <c r="AM320" s="586"/>
      <c r="AN320" s="586"/>
      <c r="AO320" s="586"/>
      <c r="AP320" s="586"/>
      <c r="AQ320" s="586"/>
      <c r="AR320" s="586"/>
      <c r="AS320" s="586"/>
      <c r="AT320" s="586"/>
      <c r="AU320" s="586"/>
      <c r="AV320" s="586"/>
      <c r="AW320" s="586"/>
      <c r="AX320" s="586"/>
      <c r="AY320" s="586"/>
      <c r="AZ320" s="586"/>
      <c r="BA320" s="586"/>
      <c r="BB320" s="586"/>
      <c r="BC320" s="586"/>
      <c r="BD320" s="586"/>
      <c r="BE320" s="586"/>
      <c r="BF320" s="586"/>
      <c r="BG320" s="586"/>
      <c r="BH320" s="563"/>
      <c r="BI320" s="563"/>
      <c r="BJ320" s="563"/>
      <c r="BK320" s="563"/>
      <c r="BL320" s="563"/>
      <c r="BM320" s="563"/>
      <c r="BN320" s="563"/>
      <c r="BO320" s="563"/>
      <c r="BP320" s="563"/>
      <c r="BQ320" s="563"/>
      <c r="BR320" s="563"/>
      <c r="BS320" s="563"/>
      <c r="BT320" s="563"/>
      <c r="BU320" s="563"/>
      <c r="BV320" s="563"/>
      <c r="BW320" s="563"/>
      <c r="BX320" s="563"/>
      <c r="BY320" s="563"/>
      <c r="BZ320" s="563"/>
      <c r="CA320" s="563"/>
      <c r="CB320" s="563"/>
      <c r="CC320" s="563"/>
      <c r="CD320" s="563"/>
      <c r="CE320" s="563"/>
      <c r="CF320" s="563"/>
      <c r="CG320" s="563"/>
      <c r="CH320" s="563"/>
      <c r="CI320" s="563"/>
      <c r="CJ320" s="563"/>
      <c r="CK320" s="563"/>
      <c r="CL320" s="563"/>
      <c r="CM320" s="563"/>
      <c r="CN320" s="563"/>
    </row>
    <row r="321" spans="1:92" s="1" customFormat="1" ht="12.75">
      <c r="A321" s="578"/>
      <c r="B321" s="632"/>
      <c r="C321" s="670" t="s">
        <v>1247</v>
      </c>
      <c r="D321" s="73"/>
      <c r="E321" s="125"/>
      <c r="F321" s="163"/>
      <c r="G321" s="127"/>
      <c r="H321" s="128"/>
      <c r="I321" s="78"/>
      <c r="J321" s="78"/>
      <c r="K321" s="252"/>
      <c r="L321" s="164"/>
      <c r="M321" s="177"/>
      <c r="N321" s="178"/>
      <c r="O321" s="179"/>
      <c r="P321" s="113"/>
      <c r="Q321" s="180"/>
      <c r="R321" s="181"/>
      <c r="S321" s="189"/>
      <c r="T321" s="182"/>
      <c r="U321" s="183"/>
      <c r="V321" s="184"/>
      <c r="W321" s="185"/>
      <c r="X321" s="185"/>
      <c r="Y321" s="170"/>
      <c r="Z321" s="170"/>
      <c r="AA321" s="170"/>
      <c r="AB321" s="237"/>
      <c r="AC321" s="20"/>
      <c r="AD321" s="132"/>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row>
    <row r="322" spans="1:92" s="1" customFormat="1" ht="12.75">
      <c r="A322" s="578"/>
      <c r="B322" s="632"/>
      <c r="C322" s="670" t="s">
        <v>1248</v>
      </c>
      <c r="D322" s="73"/>
      <c r="E322" s="125"/>
      <c r="F322" s="163"/>
      <c r="G322" s="127"/>
      <c r="H322" s="128"/>
      <c r="I322" s="78"/>
      <c r="J322" s="78"/>
      <c r="K322" s="252"/>
      <c r="L322" s="164"/>
      <c r="M322" s="177"/>
      <c r="N322" s="178"/>
      <c r="O322" s="179"/>
      <c r="P322" s="113"/>
      <c r="Q322" s="180"/>
      <c r="R322" s="181"/>
      <c r="S322" s="189"/>
      <c r="T322" s="182"/>
      <c r="U322" s="183"/>
      <c r="V322" s="184"/>
      <c r="W322" s="185"/>
      <c r="X322" s="185"/>
      <c r="Y322" s="18">
        <v>9348</v>
      </c>
      <c r="Z322" s="18"/>
      <c r="AA322" s="170"/>
      <c r="AB322" s="237"/>
      <c r="AC322" s="20"/>
      <c r="AD322" s="132"/>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row>
    <row r="323" spans="1:92" s="1" customFormat="1" ht="12.75">
      <c r="A323" s="578"/>
      <c r="B323" s="632"/>
      <c r="C323" s="633"/>
      <c r="D323" s="73"/>
      <c r="E323" s="125"/>
      <c r="F323" s="163"/>
      <c r="G323" s="127"/>
      <c r="H323" s="128"/>
      <c r="I323" s="78"/>
      <c r="J323" s="78"/>
      <c r="K323" s="252"/>
      <c r="L323" s="164"/>
      <c r="M323" s="177"/>
      <c r="N323" s="178"/>
      <c r="O323" s="179"/>
      <c r="P323" s="113"/>
      <c r="Q323" s="180"/>
      <c r="R323" s="169"/>
      <c r="S323" s="189"/>
      <c r="T323" s="182"/>
      <c r="U323" s="183"/>
      <c r="V323" s="184"/>
      <c r="W323" s="185"/>
      <c r="X323" s="185"/>
      <c r="Y323" s="18"/>
      <c r="Z323" s="18"/>
      <c r="AA323" s="170"/>
      <c r="AB323" s="237"/>
      <c r="AC323" s="20"/>
      <c r="AD323" s="132"/>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row>
    <row r="324" spans="1:92" s="1" customFormat="1" ht="12.75">
      <c r="A324" s="578">
        <v>158</v>
      </c>
      <c r="B324" s="632" t="s">
        <v>1249</v>
      </c>
      <c r="C324" s="637" t="s">
        <v>1250</v>
      </c>
      <c r="D324" s="73" t="str">
        <f>P</f>
        <v>. . .</v>
      </c>
      <c r="E324" s="125" t="s">
        <v>1251</v>
      </c>
      <c r="F324" s="163"/>
      <c r="G324" s="127" t="str">
        <f>P</f>
        <v>. . .</v>
      </c>
      <c r="H324" s="128" t="str">
        <f>P</f>
        <v>. . .</v>
      </c>
      <c r="I324" s="113">
        <f>VFFHS</f>
        <v>14.19</v>
      </c>
      <c r="J324" s="78" t="s">
        <v>1252</v>
      </c>
      <c r="K324" s="252" t="s">
        <v>1253</v>
      </c>
      <c r="L324" s="164"/>
      <c r="M324" s="177" t="s">
        <v>1254</v>
      </c>
      <c r="N324" s="178"/>
      <c r="O324" s="179" t="str">
        <f>P</f>
        <v>. . .</v>
      </c>
      <c r="P324" s="113" t="s">
        <v>1255</v>
      </c>
      <c r="Q324" s="180">
        <f>TVAFLHTSMETRO</f>
        <v>3.24184</v>
      </c>
      <c r="R324" s="181">
        <f>TVAFLHTSCORSE</f>
        <v>2.1502</v>
      </c>
      <c r="S324" s="189"/>
      <c r="T324" s="9"/>
      <c r="U324" s="10"/>
      <c r="V324" s="11"/>
      <c r="W324" s="219">
        <v>5902</v>
      </c>
      <c r="X324" s="219"/>
      <c r="Y324" s="170">
        <v>9348</v>
      </c>
      <c r="Z324" s="170"/>
      <c r="AA324" s="170"/>
      <c r="AB324" s="237"/>
      <c r="AC324" s="20"/>
      <c r="AD324" s="132"/>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row>
    <row r="325" spans="1:92" s="1" customFormat="1" ht="12.75">
      <c r="A325" s="578"/>
      <c r="B325" s="634"/>
      <c r="C325" s="655"/>
      <c r="D325" s="263"/>
      <c r="E325" s="264"/>
      <c r="F325" s="265"/>
      <c r="G325" s="266"/>
      <c r="H325" s="267"/>
      <c r="I325" s="268"/>
      <c r="J325" s="268"/>
      <c r="K325" s="671"/>
      <c r="L325" s="269"/>
      <c r="M325" s="270"/>
      <c r="N325" s="271"/>
      <c r="O325" s="272"/>
      <c r="P325" s="294"/>
      <c r="Q325" s="293"/>
      <c r="R325" s="412"/>
      <c r="S325" s="189"/>
      <c r="T325" s="9"/>
      <c r="U325" s="10"/>
      <c r="V325" s="11"/>
      <c r="W325" s="61"/>
      <c r="X325" s="61"/>
      <c r="Y325" s="413"/>
      <c r="Z325" s="413"/>
      <c r="AA325" s="18"/>
      <c r="AB325" s="237"/>
      <c r="AC325" s="20"/>
      <c r="AD325" s="132"/>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row>
    <row r="326" spans="1:92" s="1" customFormat="1" ht="12.75">
      <c r="A326" s="578">
        <v>159</v>
      </c>
      <c r="B326" s="632" t="s">
        <v>1256</v>
      </c>
      <c r="C326" s="637" t="s">
        <v>1257</v>
      </c>
      <c r="D326" s="73" t="str">
        <f>P</f>
        <v>. . .</v>
      </c>
      <c r="E326" s="125" t="s">
        <v>1258</v>
      </c>
      <c r="F326" s="163"/>
      <c r="G326" s="127" t="str">
        <f>P</f>
        <v>. . .</v>
      </c>
      <c r="H326" s="128" t="str">
        <f>P</f>
        <v>. . .</v>
      </c>
      <c r="I326" s="78" t="str">
        <f>R</f>
        <v>Réelle</v>
      </c>
      <c r="J326" s="78" t="s">
        <v>1259</v>
      </c>
      <c r="K326" s="252" t="s">
        <v>1260</v>
      </c>
      <c r="L326" s="164"/>
      <c r="M326" s="177" t="s">
        <v>1261</v>
      </c>
      <c r="N326" s="178"/>
      <c r="O326" s="179" t="str">
        <f>P</f>
        <v>. . .</v>
      </c>
      <c r="P326" s="113" t="s">
        <v>1262</v>
      </c>
      <c r="Q326" s="113" t="str">
        <f>VI</f>
        <v>(25)</v>
      </c>
      <c r="R326" s="193" t="str">
        <f>VI</f>
        <v>(25)</v>
      </c>
      <c r="S326" s="189"/>
      <c r="T326" s="9"/>
      <c r="U326" s="10"/>
      <c r="V326" s="11"/>
      <c r="W326" s="190" t="s">
        <v>1263</v>
      </c>
      <c r="X326" s="190"/>
      <c r="Y326" s="170"/>
      <c r="Z326" s="170"/>
      <c r="AA326" s="170"/>
      <c r="AB326" s="237"/>
      <c r="AC326" s="20"/>
      <c r="AD326" s="132"/>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row>
    <row r="327" spans="1:92" s="1" customFormat="1" ht="12.75">
      <c r="A327" s="578"/>
      <c r="B327" s="632"/>
      <c r="C327" s="660"/>
      <c r="D327" s="73"/>
      <c r="E327" s="125"/>
      <c r="F327" s="163"/>
      <c r="G327" s="127"/>
      <c r="H327" s="128"/>
      <c r="I327" s="78"/>
      <c r="J327" s="78"/>
      <c r="K327" s="252"/>
      <c r="L327" s="164"/>
      <c r="M327" s="177"/>
      <c r="N327" s="178"/>
      <c r="O327" s="179"/>
      <c r="P327" s="113"/>
      <c r="Q327" s="180"/>
      <c r="R327" s="181"/>
      <c r="S327" s="189"/>
      <c r="T327" s="415"/>
      <c r="U327" s="416"/>
      <c r="V327" s="417"/>
      <c r="W327" s="420"/>
      <c r="X327" s="420"/>
      <c r="Y327" s="170"/>
      <c r="Z327" s="170"/>
      <c r="AA327" s="413"/>
      <c r="AB327" s="237"/>
      <c r="AC327" s="20"/>
      <c r="AD327" s="132"/>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row>
    <row r="328" spans="1:92" s="1" customFormat="1" ht="12.75">
      <c r="A328" s="578"/>
      <c r="B328" s="632"/>
      <c r="C328" s="198" t="s">
        <v>1264</v>
      </c>
      <c r="D328" s="73"/>
      <c r="E328" s="125"/>
      <c r="F328" s="163"/>
      <c r="G328" s="127"/>
      <c r="H328" s="128"/>
      <c r="I328" s="78"/>
      <c r="J328" s="78"/>
      <c r="K328" s="252"/>
      <c r="L328" s="164"/>
      <c r="M328" s="177"/>
      <c r="N328" s="178"/>
      <c r="O328" s="179"/>
      <c r="P328" s="113"/>
      <c r="Q328" s="180"/>
      <c r="R328" s="181"/>
      <c r="S328" s="57"/>
      <c r="T328" s="182"/>
      <c r="U328" s="183"/>
      <c r="V328" s="184"/>
      <c r="W328" s="185"/>
      <c r="X328" s="185"/>
      <c r="Y328" s="170"/>
      <c r="Z328" s="170"/>
      <c r="AA328" s="170"/>
      <c r="AB328" s="237"/>
      <c r="AC328" s="20"/>
      <c r="AD328" s="132"/>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row>
    <row r="329" spans="1:92" s="1" customFormat="1" ht="12.75">
      <c r="A329" s="578"/>
      <c r="B329" s="632"/>
      <c r="C329" s="672"/>
      <c r="D329" s="73"/>
      <c r="E329" s="125"/>
      <c r="F329" s="163"/>
      <c r="G329" s="127"/>
      <c r="H329" s="128"/>
      <c r="I329" s="78"/>
      <c r="J329" s="78"/>
      <c r="K329" s="252"/>
      <c r="L329" s="164"/>
      <c r="M329" s="177"/>
      <c r="N329" s="178"/>
      <c r="O329" s="179"/>
      <c r="P329" s="113"/>
      <c r="Q329" s="180"/>
      <c r="R329" s="181"/>
      <c r="S329" s="57"/>
      <c r="T329" s="182"/>
      <c r="U329" s="183"/>
      <c r="V329" s="184"/>
      <c r="W329" s="185"/>
      <c r="X329" s="185"/>
      <c r="Y329" s="170">
        <v>4004</v>
      </c>
      <c r="Z329" s="170">
        <v>9348</v>
      </c>
      <c r="AA329" s="170">
        <v>9301</v>
      </c>
      <c r="AB329" s="237"/>
      <c r="AC329" s="20"/>
      <c r="AD329" s="132"/>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row>
    <row r="330" spans="1:92" s="588" customFormat="1" ht="12.75">
      <c r="A330" s="578"/>
      <c r="B330" s="632"/>
      <c r="C330" s="673" t="s">
        <v>1265</v>
      </c>
      <c r="D330" s="73"/>
      <c r="E330" s="125"/>
      <c r="F330" s="163"/>
      <c r="G330" s="127"/>
      <c r="H330" s="128"/>
      <c r="I330" s="78"/>
      <c r="J330" s="78"/>
      <c r="K330" s="252"/>
      <c r="L330" s="164"/>
      <c r="M330" s="177"/>
      <c r="N330" s="178"/>
      <c r="O330" s="179"/>
      <c r="P330" s="113"/>
      <c r="Q330" s="180"/>
      <c r="R330" s="181"/>
      <c r="S330" s="189"/>
      <c r="T330" s="182"/>
      <c r="U330" s="183"/>
      <c r="V330" s="184"/>
      <c r="W330" s="185"/>
      <c r="X330" s="185"/>
      <c r="Y330" s="557">
        <v>9301</v>
      </c>
      <c r="Z330" s="557"/>
      <c r="AA330" s="557"/>
      <c r="AB330" s="668"/>
      <c r="AC330" s="583"/>
      <c r="AD330" s="669"/>
      <c r="AE330" s="586"/>
      <c r="AF330" s="586"/>
      <c r="AG330" s="586"/>
      <c r="AH330" s="586"/>
      <c r="AI330" s="586"/>
      <c r="AJ330" s="586"/>
      <c r="AK330" s="586"/>
      <c r="AL330" s="586"/>
      <c r="AM330" s="586"/>
      <c r="AN330" s="586"/>
      <c r="AO330" s="586"/>
      <c r="AP330" s="586"/>
      <c r="AQ330" s="586"/>
      <c r="AR330" s="586"/>
      <c r="AS330" s="586"/>
      <c r="AT330" s="586"/>
      <c r="AU330" s="586"/>
      <c r="AV330" s="586"/>
      <c r="AW330" s="586"/>
      <c r="AX330" s="586"/>
      <c r="AY330" s="586"/>
      <c r="AZ330" s="586"/>
      <c r="BA330" s="586"/>
      <c r="BB330" s="586"/>
      <c r="BC330" s="586"/>
      <c r="BD330" s="586"/>
      <c r="BE330" s="586"/>
      <c r="BF330" s="586"/>
      <c r="BG330" s="586"/>
      <c r="BH330" s="587"/>
      <c r="BI330" s="587"/>
      <c r="BJ330" s="587"/>
      <c r="BK330" s="587"/>
      <c r="BL330" s="587"/>
      <c r="BM330" s="587"/>
      <c r="BN330" s="587"/>
      <c r="BO330" s="587"/>
      <c r="BP330" s="587"/>
      <c r="BQ330" s="587"/>
      <c r="BR330" s="587"/>
      <c r="BS330" s="587"/>
      <c r="BT330" s="587"/>
      <c r="BU330" s="587"/>
      <c r="BV330" s="587"/>
      <c r="BW330" s="587"/>
      <c r="BX330" s="587"/>
      <c r="BY330" s="587"/>
      <c r="BZ330" s="587"/>
      <c r="CA330" s="587"/>
      <c r="CB330" s="587"/>
      <c r="CC330" s="587"/>
      <c r="CD330" s="587"/>
      <c r="CE330" s="587"/>
      <c r="CF330" s="587"/>
      <c r="CG330" s="587"/>
      <c r="CH330" s="587"/>
      <c r="CI330" s="587"/>
      <c r="CJ330" s="587"/>
      <c r="CK330" s="587"/>
      <c r="CL330" s="587"/>
      <c r="CM330" s="587"/>
      <c r="CN330" s="587"/>
    </row>
    <row r="331" spans="1:92" s="1" customFormat="1" ht="12.75">
      <c r="A331" s="578">
        <v>160</v>
      </c>
      <c r="B331" s="89" t="s">
        <v>1266</v>
      </c>
      <c r="C331" s="210" t="s">
        <v>1267</v>
      </c>
      <c r="D331" s="78" t="s">
        <v>1268</v>
      </c>
      <c r="E331" s="125">
        <v>0.012</v>
      </c>
      <c r="F331" s="163"/>
      <c r="G331" s="127"/>
      <c r="H331" s="128"/>
      <c r="I331" s="78" t="str">
        <f>R</f>
        <v>Réelle</v>
      </c>
      <c r="J331" s="78" t="s">
        <v>1269</v>
      </c>
      <c r="K331" s="674">
        <v>0.024</v>
      </c>
      <c r="L331" s="163"/>
      <c r="M331" s="177" t="str">
        <f>"(9)"</f>
        <v>(9)</v>
      </c>
      <c r="N331" s="178"/>
      <c r="O331" s="179" t="str">
        <f>P</f>
        <v>. . .</v>
      </c>
      <c r="P331" s="113" t="s">
        <v>1270</v>
      </c>
      <c r="Q331" s="113" t="str">
        <f>VI</f>
        <v>(25)</v>
      </c>
      <c r="R331" s="193" t="str">
        <f>VI</f>
        <v>(25)</v>
      </c>
      <c r="S331" s="403"/>
      <c r="T331" s="9"/>
      <c r="U331" s="10"/>
      <c r="V331" s="11"/>
      <c r="W331" s="185" t="str">
        <f>t</f>
        <v>TVO</v>
      </c>
      <c r="X331" s="185"/>
      <c r="Y331" s="35"/>
      <c r="Z331" s="35"/>
      <c r="AA331" s="170"/>
      <c r="AB331" s="237"/>
      <c r="AC331" s="20"/>
      <c r="AD331" s="132"/>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row>
    <row r="332" spans="1:92" s="1" customFormat="1" ht="12.75">
      <c r="A332" s="578">
        <v>161</v>
      </c>
      <c r="B332" s="632" t="s">
        <v>1271</v>
      </c>
      <c r="C332" s="675" t="s">
        <v>1272</v>
      </c>
      <c r="D332" s="73" t="s">
        <v>1273</v>
      </c>
      <c r="E332" s="125" t="s">
        <v>1274</v>
      </c>
      <c r="F332" s="163"/>
      <c r="G332" s="127"/>
      <c r="H332" s="128"/>
      <c r="I332" s="78" t="str">
        <f>R</f>
        <v>Réelle</v>
      </c>
      <c r="J332" s="78" t="str">
        <f>P</f>
        <v>. . .</v>
      </c>
      <c r="K332" s="252" t="s">
        <v>1275</v>
      </c>
      <c r="L332" s="164"/>
      <c r="M332" s="319" t="s">
        <v>1276</v>
      </c>
      <c r="N332" s="320"/>
      <c r="O332" s="321" t="str">
        <f>P</f>
        <v>. . .</v>
      </c>
      <c r="P332" s="113" t="s">
        <v>1277</v>
      </c>
      <c r="Q332" s="113" t="str">
        <f>VI</f>
        <v>(25)</v>
      </c>
      <c r="R332" s="193" t="str">
        <f>VI</f>
        <v>(25)</v>
      </c>
      <c r="S332" s="626"/>
      <c r="T332" s="596"/>
      <c r="U332" s="597"/>
      <c r="V332" s="598"/>
      <c r="W332" s="185" t="str">
        <f>t</f>
        <v>TVO</v>
      </c>
      <c r="X332" s="185"/>
      <c r="Y332" s="170"/>
      <c r="Z332" s="170"/>
      <c r="AA332" s="170"/>
      <c r="AB332" s="237"/>
      <c r="AC332" s="20"/>
      <c r="AD332" s="132"/>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row>
    <row r="333" spans="1:59" s="7" customFormat="1" ht="12.75">
      <c r="A333" s="578"/>
      <c r="B333" s="632"/>
      <c r="C333" s="673" t="s">
        <v>1278</v>
      </c>
      <c r="D333" s="73"/>
      <c r="E333" s="125"/>
      <c r="F333" s="163"/>
      <c r="G333" s="127"/>
      <c r="H333" s="128"/>
      <c r="I333" s="78"/>
      <c r="J333" s="78"/>
      <c r="K333" s="252"/>
      <c r="L333" s="164"/>
      <c r="M333" s="177"/>
      <c r="N333" s="178"/>
      <c r="O333" s="179"/>
      <c r="P333" s="113"/>
      <c r="Q333" s="180"/>
      <c r="R333" s="181"/>
      <c r="S333" s="189"/>
      <c r="T333" s="85"/>
      <c r="U333" s="86"/>
      <c r="V333" s="87"/>
      <c r="W333" s="88"/>
      <c r="X333" s="88"/>
      <c r="Y333" s="170">
        <v>4004</v>
      </c>
      <c r="Z333" s="170">
        <v>9348</v>
      </c>
      <c r="AA333" s="35"/>
      <c r="AB333" s="237"/>
      <c r="AC333" s="20"/>
      <c r="AD333" s="132"/>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1:92" s="1" customFormat="1" ht="12.75">
      <c r="A334" s="578"/>
      <c r="B334" s="632"/>
      <c r="C334" s="675" t="s">
        <v>1279</v>
      </c>
      <c r="D334" s="73"/>
      <c r="E334" s="125"/>
      <c r="F334" s="163"/>
      <c r="G334" s="127"/>
      <c r="H334" s="128"/>
      <c r="I334" s="78"/>
      <c r="J334" s="78"/>
      <c r="K334" s="252"/>
      <c r="L334" s="164"/>
      <c r="M334" s="177"/>
      <c r="N334" s="178"/>
      <c r="O334" s="179"/>
      <c r="P334" s="113"/>
      <c r="Q334" s="180"/>
      <c r="R334" s="181"/>
      <c r="S334" s="189"/>
      <c r="T334" s="182"/>
      <c r="U334" s="183"/>
      <c r="V334" s="184"/>
      <c r="W334" s="185"/>
      <c r="X334" s="185"/>
      <c r="Y334" s="170"/>
      <c r="Z334" s="170"/>
      <c r="AA334" s="35"/>
      <c r="AB334" s="237"/>
      <c r="AC334" s="20"/>
      <c r="AD334" s="132"/>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row>
    <row r="335" spans="1:92" s="1" customFormat="1" ht="12.75">
      <c r="A335" s="578">
        <v>162</v>
      </c>
      <c r="B335" s="632" t="s">
        <v>1280</v>
      </c>
      <c r="C335" s="675" t="s">
        <v>1281</v>
      </c>
      <c r="D335" s="73" t="s">
        <v>1282</v>
      </c>
      <c r="E335" s="125" t="s">
        <v>1283</v>
      </c>
      <c r="F335" s="163"/>
      <c r="G335" s="127"/>
      <c r="H335" s="128"/>
      <c r="I335" s="78" t="str">
        <f>R</f>
        <v>Réelle</v>
      </c>
      <c r="J335" s="78" t="s">
        <v>1284</v>
      </c>
      <c r="K335" s="252" t="s">
        <v>1285</v>
      </c>
      <c r="L335" s="164"/>
      <c r="M335" s="177" t="str">
        <f>"(9)"</f>
        <v>(9)</v>
      </c>
      <c r="N335" s="178"/>
      <c r="O335" s="179" t="str">
        <f>P</f>
        <v>. . .</v>
      </c>
      <c r="P335" s="113" t="s">
        <v>1286</v>
      </c>
      <c r="Q335" s="113" t="str">
        <f>VI</f>
        <v>(25)</v>
      </c>
      <c r="R335" s="113" t="str">
        <f>VI</f>
        <v>(25)</v>
      </c>
      <c r="S335" s="189"/>
      <c r="T335" s="9"/>
      <c r="U335" s="10"/>
      <c r="V335" s="440"/>
      <c r="W335" s="185" t="str">
        <f>t</f>
        <v>TVO</v>
      </c>
      <c r="X335" s="185"/>
      <c r="Y335" s="170">
        <v>4004</v>
      </c>
      <c r="Z335" s="170">
        <v>9348</v>
      </c>
      <c r="AA335" s="170"/>
      <c r="AB335" s="237"/>
      <c r="AC335" s="20"/>
      <c r="AD335" s="132"/>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row>
    <row r="336" spans="1:92" s="1" customFormat="1" ht="12.75">
      <c r="A336" s="578">
        <v>163</v>
      </c>
      <c r="B336" s="632" t="s">
        <v>1287</v>
      </c>
      <c r="C336" s="675" t="s">
        <v>1288</v>
      </c>
      <c r="D336" s="73" t="s">
        <v>1289</v>
      </c>
      <c r="E336" s="125" t="s">
        <v>1290</v>
      </c>
      <c r="F336" s="163"/>
      <c r="G336" s="127"/>
      <c r="H336" s="128"/>
      <c r="I336" s="78" t="str">
        <f>R</f>
        <v>Réelle</v>
      </c>
      <c r="J336" s="78" t="str">
        <f>P</f>
        <v>. . .</v>
      </c>
      <c r="K336" s="252" t="s">
        <v>1291</v>
      </c>
      <c r="L336" s="164"/>
      <c r="M336" s="177" t="s">
        <v>1292</v>
      </c>
      <c r="N336" s="178"/>
      <c r="O336" s="179" t="str">
        <f>P</f>
        <v>. . .</v>
      </c>
      <c r="P336" s="113" t="s">
        <v>1293</v>
      </c>
      <c r="Q336" s="113" t="str">
        <f>VI</f>
        <v>(25)</v>
      </c>
      <c r="R336" s="113" t="str">
        <f>VI</f>
        <v>(25)</v>
      </c>
      <c r="S336" s="189"/>
      <c r="T336" s="9"/>
      <c r="U336" s="10"/>
      <c r="V336" s="11"/>
      <c r="W336" s="185" t="str">
        <f>t</f>
        <v>TVO</v>
      </c>
      <c r="X336" s="185"/>
      <c r="Y336" s="35"/>
      <c r="Z336" s="35"/>
      <c r="AA336" s="35"/>
      <c r="AB336" s="237"/>
      <c r="AC336" s="20"/>
      <c r="AD336" s="132"/>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row>
    <row r="337" spans="1:92" s="1" customFormat="1" ht="12.75">
      <c r="A337" s="578">
        <v>164</v>
      </c>
      <c r="B337" s="632" t="s">
        <v>1294</v>
      </c>
      <c r="C337" s="675" t="s">
        <v>1295</v>
      </c>
      <c r="D337" s="73" t="s">
        <v>1296</v>
      </c>
      <c r="E337" s="125" t="s">
        <v>1297</v>
      </c>
      <c r="F337" s="163"/>
      <c r="G337" s="127"/>
      <c r="H337" s="128"/>
      <c r="I337" s="78" t="str">
        <f>R</f>
        <v>Réelle</v>
      </c>
      <c r="J337" s="78" t="s">
        <v>1298</v>
      </c>
      <c r="K337" s="252" t="s">
        <v>1299</v>
      </c>
      <c r="L337" s="164"/>
      <c r="M337" s="177" t="str">
        <f>"(9)"</f>
        <v>(9)</v>
      </c>
      <c r="N337" s="178"/>
      <c r="O337" s="179" t="str">
        <f>P</f>
        <v>. . .</v>
      </c>
      <c r="P337" s="113" t="s">
        <v>1300</v>
      </c>
      <c r="Q337" s="113" t="str">
        <f>VI</f>
        <v>(25)</v>
      </c>
      <c r="R337" s="113" t="str">
        <f>VI</f>
        <v>(25)</v>
      </c>
      <c r="S337" s="199"/>
      <c r="T337" s="9"/>
      <c r="U337" s="10"/>
      <c r="V337" s="11"/>
      <c r="W337" s="185" t="str">
        <f>t</f>
        <v>TVO</v>
      </c>
      <c r="X337" s="185"/>
      <c r="Y337" s="170">
        <v>4004</v>
      </c>
      <c r="Z337" s="170">
        <v>9348</v>
      </c>
      <c r="AA337" s="170"/>
      <c r="AB337" s="237"/>
      <c r="AC337" s="20"/>
      <c r="AD337" s="132"/>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row>
    <row r="338" spans="1:92" s="1" customFormat="1" ht="12.75">
      <c r="A338" s="578"/>
      <c r="B338" s="632"/>
      <c r="C338" s="675" t="s">
        <v>1301</v>
      </c>
      <c r="D338" s="73"/>
      <c r="E338" s="125"/>
      <c r="F338" s="163"/>
      <c r="G338" s="127"/>
      <c r="H338" s="128"/>
      <c r="I338" s="78"/>
      <c r="J338" s="78"/>
      <c r="K338" s="252"/>
      <c r="L338" s="164"/>
      <c r="M338" s="177"/>
      <c r="N338" s="178"/>
      <c r="O338" s="179"/>
      <c r="P338" s="113"/>
      <c r="Q338" s="180"/>
      <c r="R338" s="181"/>
      <c r="S338" s="189"/>
      <c r="T338" s="9"/>
      <c r="U338" s="10"/>
      <c r="V338" s="11"/>
      <c r="W338" s="88"/>
      <c r="X338" s="88"/>
      <c r="Y338" s="170">
        <v>4004</v>
      </c>
      <c r="Z338" s="170">
        <v>9348</v>
      </c>
      <c r="AA338" s="170"/>
      <c r="AB338" s="237"/>
      <c r="AC338" s="20"/>
      <c r="AD338" s="132"/>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row>
    <row r="339" spans="1:92" s="603" customFormat="1" ht="12.75">
      <c r="A339" s="578">
        <v>165</v>
      </c>
      <c r="B339" s="632" t="s">
        <v>1302</v>
      </c>
      <c r="C339" s="675" t="s">
        <v>1303</v>
      </c>
      <c r="D339" s="73" t="s">
        <v>1304</v>
      </c>
      <c r="E339" s="125" t="s">
        <v>1305</v>
      </c>
      <c r="F339" s="163"/>
      <c r="G339" s="127"/>
      <c r="H339" s="128"/>
      <c r="I339" s="78" t="str">
        <f>R</f>
        <v>Réelle</v>
      </c>
      <c r="J339" s="78" t="s">
        <v>1306</v>
      </c>
      <c r="K339" s="252" t="s">
        <v>1307</v>
      </c>
      <c r="L339" s="164"/>
      <c r="M339" s="177" t="str">
        <f>"(9)"</f>
        <v>(9)</v>
      </c>
      <c r="N339" s="178"/>
      <c r="O339" s="179" t="str">
        <f>P</f>
        <v>. . .</v>
      </c>
      <c r="P339" s="113" t="s">
        <v>1308</v>
      </c>
      <c r="Q339" s="113" t="str">
        <f>VI</f>
        <v>(25)</v>
      </c>
      <c r="R339" s="193" t="str">
        <f>VI</f>
        <v>(25)</v>
      </c>
      <c r="S339" s="199"/>
      <c r="T339" s="9"/>
      <c r="U339" s="10"/>
      <c r="V339" s="11"/>
      <c r="W339" s="185" t="str">
        <f>t</f>
        <v>TVO</v>
      </c>
      <c r="X339" s="185"/>
      <c r="Y339" s="35"/>
      <c r="Z339" s="35"/>
      <c r="AA339" s="35"/>
      <c r="AB339" s="237"/>
      <c r="AC339" s="20"/>
      <c r="AD339" s="132"/>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row>
    <row r="340" spans="1:92" s="1" customFormat="1" ht="12.75">
      <c r="A340" s="578">
        <v>166</v>
      </c>
      <c r="B340" s="632" t="s">
        <v>1309</v>
      </c>
      <c r="C340" s="675" t="s">
        <v>1310</v>
      </c>
      <c r="D340" s="73" t="s">
        <v>1311</v>
      </c>
      <c r="E340" s="125" t="s">
        <v>1312</v>
      </c>
      <c r="F340" s="163"/>
      <c r="G340" s="127"/>
      <c r="H340" s="128"/>
      <c r="I340" s="78" t="str">
        <f>R</f>
        <v>Réelle</v>
      </c>
      <c r="J340" s="78" t="s">
        <v>1313</v>
      </c>
      <c r="K340" s="252" t="s">
        <v>1314</v>
      </c>
      <c r="L340" s="164"/>
      <c r="M340" s="177" t="str">
        <f>"(9)"</f>
        <v>(9)</v>
      </c>
      <c r="N340" s="178"/>
      <c r="O340" s="179" t="str">
        <f>P</f>
        <v>. . .</v>
      </c>
      <c r="P340" s="113" t="s">
        <v>1315</v>
      </c>
      <c r="Q340" s="113" t="str">
        <f>VI</f>
        <v>(25)</v>
      </c>
      <c r="R340" s="193" t="str">
        <f>VI</f>
        <v>(25)</v>
      </c>
      <c r="S340" s="199"/>
      <c r="T340" s="9"/>
      <c r="U340" s="10"/>
      <c r="V340" s="11"/>
      <c r="W340" s="185" t="str">
        <f>t</f>
        <v>TVO</v>
      </c>
      <c r="X340" s="185"/>
      <c r="Y340" s="170">
        <v>4004</v>
      </c>
      <c r="Z340" s="170">
        <v>9348</v>
      </c>
      <c r="AA340" s="170"/>
      <c r="AB340" s="237"/>
      <c r="AC340" s="20"/>
      <c r="AD340" s="132"/>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row>
    <row r="341" spans="1:92" s="1" customFormat="1" ht="12.75">
      <c r="A341" s="578"/>
      <c r="B341" s="632"/>
      <c r="C341" s="675" t="s">
        <v>1316</v>
      </c>
      <c r="D341" s="73"/>
      <c r="E341" s="125"/>
      <c r="F341" s="163"/>
      <c r="G341" s="127"/>
      <c r="H341" s="128"/>
      <c r="I341" s="78"/>
      <c r="J341" s="78"/>
      <c r="K341" s="252"/>
      <c r="L341" s="164"/>
      <c r="M341" s="177"/>
      <c r="N341" s="178"/>
      <c r="O341" s="179"/>
      <c r="P341" s="113"/>
      <c r="Q341" s="180"/>
      <c r="R341" s="181"/>
      <c r="S341" s="189"/>
      <c r="T341" s="9"/>
      <c r="U341" s="10"/>
      <c r="V341" s="11"/>
      <c r="W341" s="88"/>
      <c r="X341" s="88"/>
      <c r="Y341" s="170">
        <v>4004</v>
      </c>
      <c r="Z341" s="170">
        <v>9348</v>
      </c>
      <c r="AA341" s="170"/>
      <c r="AB341" s="237"/>
      <c r="AC341" s="20"/>
      <c r="AD341" s="132"/>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row>
    <row r="342" spans="1:92" s="1" customFormat="1" ht="12.75">
      <c r="A342" s="578">
        <v>167</v>
      </c>
      <c r="B342" s="632" t="s">
        <v>1317</v>
      </c>
      <c r="C342" s="675" t="s">
        <v>1318</v>
      </c>
      <c r="D342" s="73" t="s">
        <v>1319</v>
      </c>
      <c r="E342" s="125" t="s">
        <v>1320</v>
      </c>
      <c r="F342" s="163"/>
      <c r="G342" s="127"/>
      <c r="H342" s="128"/>
      <c r="I342" s="78" t="str">
        <f>R</f>
        <v>Réelle</v>
      </c>
      <c r="J342" s="78" t="s">
        <v>1321</v>
      </c>
      <c r="K342" s="252" t="s">
        <v>1322</v>
      </c>
      <c r="L342" s="164"/>
      <c r="M342" s="177" t="str">
        <f>"(9)"</f>
        <v>(9)</v>
      </c>
      <c r="N342" s="178"/>
      <c r="O342" s="179" t="str">
        <f>P</f>
        <v>. . .</v>
      </c>
      <c r="P342" s="113" t="s">
        <v>1323</v>
      </c>
      <c r="Q342" s="113" t="str">
        <f>VI</f>
        <v>(25)</v>
      </c>
      <c r="R342" s="113" t="str">
        <f>VI</f>
        <v>(25)</v>
      </c>
      <c r="S342" s="199"/>
      <c r="T342" s="9"/>
      <c r="U342" s="10"/>
      <c r="V342" s="11"/>
      <c r="W342" s="185" t="str">
        <f>t</f>
        <v>TVO</v>
      </c>
      <c r="X342" s="185"/>
      <c r="Y342" s="170">
        <v>4004</v>
      </c>
      <c r="Z342" s="170">
        <v>9348</v>
      </c>
      <c r="AA342" s="35"/>
      <c r="AB342" s="237"/>
      <c r="AC342" s="20"/>
      <c r="AD342" s="132"/>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row>
    <row r="343" spans="1:92" s="1" customFormat="1" ht="12.75">
      <c r="A343" s="578">
        <v>168</v>
      </c>
      <c r="B343" s="632" t="s">
        <v>1324</v>
      </c>
      <c r="C343" s="675" t="s">
        <v>1325</v>
      </c>
      <c r="D343" s="73" t="s">
        <v>1326</v>
      </c>
      <c r="E343" s="125" t="s">
        <v>1327</v>
      </c>
      <c r="F343" s="163"/>
      <c r="G343" s="127"/>
      <c r="H343" s="128"/>
      <c r="I343" s="78" t="str">
        <f>R</f>
        <v>Réelle</v>
      </c>
      <c r="J343" s="78" t="s">
        <v>1328</v>
      </c>
      <c r="K343" s="252" t="s">
        <v>1329</v>
      </c>
      <c r="L343" s="164"/>
      <c r="M343" s="177" t="str">
        <f>"(9)"</f>
        <v>(9)</v>
      </c>
      <c r="N343" s="178"/>
      <c r="O343" s="179" t="str">
        <f>P</f>
        <v>. . .</v>
      </c>
      <c r="P343" s="113" t="s">
        <v>1330</v>
      </c>
      <c r="Q343" s="113" t="str">
        <f>VI</f>
        <v>(25)</v>
      </c>
      <c r="R343" s="113" t="str">
        <f>VI</f>
        <v>(25)</v>
      </c>
      <c r="S343" s="199"/>
      <c r="T343" s="9"/>
      <c r="U343" s="10"/>
      <c r="V343" s="11"/>
      <c r="W343" s="185" t="str">
        <f>t</f>
        <v>TVO</v>
      </c>
      <c r="X343" s="185"/>
      <c r="Y343" s="35"/>
      <c r="Z343" s="35"/>
      <c r="AA343" s="35"/>
      <c r="AB343" s="237"/>
      <c r="AC343" s="20"/>
      <c r="AD343" s="132"/>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row>
    <row r="344" spans="1:92" s="1" customFormat="1" ht="12.75">
      <c r="A344" s="578">
        <v>169</v>
      </c>
      <c r="B344" s="632" t="s">
        <v>1331</v>
      </c>
      <c r="C344" s="675" t="s">
        <v>1332</v>
      </c>
      <c r="D344" s="73" t="s">
        <v>1333</v>
      </c>
      <c r="E344" s="125" t="s">
        <v>1334</v>
      </c>
      <c r="F344" s="163"/>
      <c r="G344" s="127"/>
      <c r="H344" s="128"/>
      <c r="I344" s="78" t="str">
        <f>R</f>
        <v>Réelle</v>
      </c>
      <c r="J344" s="78" t="s">
        <v>1335</v>
      </c>
      <c r="K344" s="252" t="s">
        <v>1336</v>
      </c>
      <c r="L344" s="164"/>
      <c r="M344" s="177" t="str">
        <f>"(9)"</f>
        <v>(9)</v>
      </c>
      <c r="N344" s="178"/>
      <c r="O344" s="179" t="str">
        <f>P</f>
        <v>. . .</v>
      </c>
      <c r="P344" s="113" t="s">
        <v>1337</v>
      </c>
      <c r="Q344" s="113" t="str">
        <f>VI</f>
        <v>(25)</v>
      </c>
      <c r="R344" s="113" t="str">
        <f>VI</f>
        <v>(25)</v>
      </c>
      <c r="S344" s="189"/>
      <c r="T344" s="9"/>
      <c r="U344" s="10"/>
      <c r="V344" s="11"/>
      <c r="W344" s="185" t="str">
        <f>t</f>
        <v>TVO</v>
      </c>
      <c r="X344" s="185"/>
      <c r="Y344" s="170"/>
      <c r="Z344" s="170"/>
      <c r="AA344" s="35"/>
      <c r="AB344" s="237"/>
      <c r="AC344" s="20"/>
      <c r="AD344" s="132"/>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row>
    <row r="345" spans="1:92" s="564" customFormat="1" ht="12.75">
      <c r="A345" s="614"/>
      <c r="B345" s="640"/>
      <c r="C345" s="676"/>
      <c r="D345" s="225"/>
      <c r="E345" s="226"/>
      <c r="F345" s="227"/>
      <c r="G345" s="228"/>
      <c r="H345" s="229"/>
      <c r="I345" s="230"/>
      <c r="J345" s="230"/>
      <c r="K345" s="677"/>
      <c r="L345" s="231"/>
      <c r="M345" s="547"/>
      <c r="N345" s="548"/>
      <c r="O345" s="549"/>
      <c r="P345" s="235"/>
      <c r="Q345" s="550"/>
      <c r="R345" s="551"/>
      <c r="S345" s="678"/>
      <c r="T345" s="649"/>
      <c r="U345" s="650"/>
      <c r="V345" s="651"/>
      <c r="W345" s="652"/>
      <c r="X345" s="652"/>
      <c r="Y345" s="557"/>
      <c r="Z345" s="557"/>
      <c r="AA345" s="557"/>
      <c r="AB345" s="668"/>
      <c r="AC345" s="559"/>
      <c r="AD345" s="669"/>
      <c r="AE345" s="586"/>
      <c r="AF345" s="586"/>
      <c r="AG345" s="586"/>
      <c r="AH345" s="586"/>
      <c r="AI345" s="586"/>
      <c r="AJ345" s="586"/>
      <c r="AK345" s="586"/>
      <c r="AL345" s="586"/>
      <c r="AM345" s="586"/>
      <c r="AN345" s="586"/>
      <c r="AO345" s="586"/>
      <c r="AP345" s="586"/>
      <c r="AQ345" s="586"/>
      <c r="AR345" s="586"/>
      <c r="AS345" s="586"/>
      <c r="AT345" s="586"/>
      <c r="AU345" s="586"/>
      <c r="AV345" s="586"/>
      <c r="AW345" s="586"/>
      <c r="AX345" s="586"/>
      <c r="AY345" s="586"/>
      <c r="AZ345" s="586"/>
      <c r="BA345" s="586"/>
      <c r="BB345" s="586"/>
      <c r="BC345" s="586"/>
      <c r="BD345" s="586"/>
      <c r="BE345" s="586"/>
      <c r="BF345" s="586"/>
      <c r="BG345" s="586"/>
      <c r="BH345" s="563"/>
      <c r="BI345" s="563"/>
      <c r="BJ345" s="563"/>
      <c r="BK345" s="563"/>
      <c r="BL345" s="563"/>
      <c r="BM345" s="563"/>
      <c r="BN345" s="563"/>
      <c r="BO345" s="563"/>
      <c r="BP345" s="563"/>
      <c r="BQ345" s="563"/>
      <c r="BR345" s="563"/>
      <c r="BS345" s="563"/>
      <c r="BT345" s="563"/>
      <c r="BU345" s="563"/>
      <c r="BV345" s="563"/>
      <c r="BW345" s="563"/>
      <c r="BX345" s="563"/>
      <c r="BY345" s="563"/>
      <c r="BZ345" s="563"/>
      <c r="CA345" s="563"/>
      <c r="CB345" s="563"/>
      <c r="CC345" s="563"/>
      <c r="CD345" s="563"/>
      <c r="CE345" s="563"/>
      <c r="CF345" s="563"/>
      <c r="CG345" s="563"/>
      <c r="CH345" s="563"/>
      <c r="CI345" s="563"/>
      <c r="CJ345" s="563"/>
      <c r="CK345" s="563"/>
      <c r="CL345" s="563"/>
      <c r="CM345" s="563"/>
      <c r="CN345" s="563"/>
    </row>
    <row r="346" spans="1:92" s="1" customFormat="1" ht="12.75">
      <c r="A346" s="578"/>
      <c r="B346" s="632"/>
      <c r="C346" s="198" t="s">
        <v>1338</v>
      </c>
      <c r="D346" s="73"/>
      <c r="E346" s="125"/>
      <c r="F346" s="163"/>
      <c r="G346" s="127"/>
      <c r="H346" s="128"/>
      <c r="I346" s="78"/>
      <c r="J346" s="78"/>
      <c r="K346" s="252"/>
      <c r="L346" s="164"/>
      <c r="M346" s="177"/>
      <c r="N346" s="178"/>
      <c r="O346" s="179"/>
      <c r="P346" s="113"/>
      <c r="Q346" s="180"/>
      <c r="R346" s="181"/>
      <c r="S346" s="189"/>
      <c r="T346" s="182"/>
      <c r="U346" s="183"/>
      <c r="V346" s="184"/>
      <c r="W346" s="185"/>
      <c r="X346" s="185"/>
      <c r="Y346" s="170"/>
      <c r="Z346" s="170"/>
      <c r="AA346" s="35"/>
      <c r="AB346" s="237"/>
      <c r="AC346" s="20"/>
      <c r="AD346" s="132"/>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row>
    <row r="347" spans="1:92" s="1" customFormat="1" ht="12.75">
      <c r="A347" s="578"/>
      <c r="B347" s="632"/>
      <c r="C347" s="672"/>
      <c r="D347" s="73"/>
      <c r="E347" s="125"/>
      <c r="F347" s="163"/>
      <c r="G347" s="127"/>
      <c r="H347" s="128"/>
      <c r="I347" s="78"/>
      <c r="J347" s="78"/>
      <c r="K347" s="252"/>
      <c r="L347" s="164"/>
      <c r="M347" s="177"/>
      <c r="N347" s="178"/>
      <c r="O347" s="179"/>
      <c r="P347" s="113"/>
      <c r="Q347" s="180"/>
      <c r="R347" s="181"/>
      <c r="S347" s="199"/>
      <c r="T347" s="182"/>
      <c r="U347" s="183"/>
      <c r="V347" s="184"/>
      <c r="W347" s="185"/>
      <c r="X347" s="185"/>
      <c r="Y347" s="170"/>
      <c r="Z347" s="170"/>
      <c r="AA347" s="170"/>
      <c r="AB347" s="237"/>
      <c r="AC347" s="20"/>
      <c r="AD347" s="132"/>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row>
    <row r="348" spans="1:92" s="1" customFormat="1" ht="12.75">
      <c r="A348" s="578"/>
      <c r="B348" s="632"/>
      <c r="C348" s="673" t="s">
        <v>1339</v>
      </c>
      <c r="D348" s="73"/>
      <c r="E348" s="125"/>
      <c r="F348" s="163"/>
      <c r="G348" s="127"/>
      <c r="H348" s="128"/>
      <c r="I348" s="78"/>
      <c r="J348" s="78"/>
      <c r="K348" s="252"/>
      <c r="L348" s="164"/>
      <c r="M348" s="177"/>
      <c r="N348" s="178"/>
      <c r="O348" s="179"/>
      <c r="P348" s="113"/>
      <c r="Q348" s="180"/>
      <c r="R348" s="181"/>
      <c r="S348" s="199"/>
      <c r="T348" s="182"/>
      <c r="U348" s="183"/>
      <c r="V348" s="184"/>
      <c r="W348" s="185"/>
      <c r="X348" s="185"/>
      <c r="Y348" s="170">
        <v>4004</v>
      </c>
      <c r="Z348" s="170">
        <v>9348</v>
      </c>
      <c r="AA348" s="170"/>
      <c r="AB348" s="237"/>
      <c r="AC348" s="20"/>
      <c r="AD348" s="132"/>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row>
    <row r="349" spans="1:92" s="1" customFormat="1" ht="12.75">
      <c r="A349" s="578"/>
      <c r="B349" s="632"/>
      <c r="C349" s="675" t="s">
        <v>1340</v>
      </c>
      <c r="D349" s="73"/>
      <c r="E349" s="125"/>
      <c r="F349" s="163"/>
      <c r="G349" s="127"/>
      <c r="H349" s="128"/>
      <c r="I349" s="78"/>
      <c r="J349" s="78"/>
      <c r="K349" s="252"/>
      <c r="L349" s="164"/>
      <c r="M349" s="177"/>
      <c r="N349" s="178"/>
      <c r="O349" s="179"/>
      <c r="P349" s="113"/>
      <c r="Q349" s="180"/>
      <c r="R349" s="181"/>
      <c r="S349" s="189"/>
      <c r="T349" s="182"/>
      <c r="U349" s="183"/>
      <c r="V349" s="184"/>
      <c r="W349" s="185"/>
      <c r="X349" s="185"/>
      <c r="Y349" s="170"/>
      <c r="Z349" s="170"/>
      <c r="AA349" s="170"/>
      <c r="AB349" s="237"/>
      <c r="AC349" s="20"/>
      <c r="AD349" s="132"/>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row>
    <row r="350" spans="1:92" s="1" customFormat="1" ht="12.75">
      <c r="A350" s="578">
        <v>170</v>
      </c>
      <c r="B350" s="632" t="s">
        <v>1341</v>
      </c>
      <c r="C350" s="675" t="s">
        <v>1342</v>
      </c>
      <c r="D350" s="73" t="s">
        <v>1343</v>
      </c>
      <c r="E350" s="125" t="s">
        <v>1344</v>
      </c>
      <c r="F350" s="163"/>
      <c r="G350" s="127"/>
      <c r="H350" s="128"/>
      <c r="I350" s="78" t="str">
        <f>R</f>
        <v>Réelle</v>
      </c>
      <c r="J350" s="78" t="s">
        <v>1345</v>
      </c>
      <c r="K350" s="252" t="s">
        <v>1346</v>
      </c>
      <c r="L350" s="164"/>
      <c r="M350" s="177" t="str">
        <f>"(9)"</f>
        <v>(9)</v>
      </c>
      <c r="N350" s="178"/>
      <c r="O350" s="179" t="str">
        <f>P</f>
        <v>. . .</v>
      </c>
      <c r="P350" s="113" t="s">
        <v>1347</v>
      </c>
      <c r="Q350" s="113" t="str">
        <f>VI</f>
        <v>(25)</v>
      </c>
      <c r="R350" s="193" t="str">
        <f>VI</f>
        <v>(25)</v>
      </c>
      <c r="S350" s="199"/>
      <c r="T350" s="9"/>
      <c r="U350" s="10"/>
      <c r="V350" s="11"/>
      <c r="W350" s="185" t="str">
        <f>t</f>
        <v>TVO</v>
      </c>
      <c r="X350" s="185"/>
      <c r="Y350" s="35"/>
      <c r="Z350" s="35"/>
      <c r="AA350" s="170"/>
      <c r="AB350" s="237"/>
      <c r="AC350" s="20"/>
      <c r="AD350" s="132"/>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row>
    <row r="351" spans="1:92" s="1" customFormat="1" ht="12.75">
      <c r="A351" s="578">
        <v>171</v>
      </c>
      <c r="B351" s="632" t="s">
        <v>1348</v>
      </c>
      <c r="C351" s="675" t="s">
        <v>1349</v>
      </c>
      <c r="D351" s="73" t="s">
        <v>1350</v>
      </c>
      <c r="E351" s="125" t="s">
        <v>1351</v>
      </c>
      <c r="F351" s="163"/>
      <c r="G351" s="127"/>
      <c r="H351" s="128"/>
      <c r="I351" s="78" t="str">
        <f>R</f>
        <v>Réelle</v>
      </c>
      <c r="J351" s="78" t="str">
        <f>P</f>
        <v>. . .</v>
      </c>
      <c r="K351" s="252" t="s">
        <v>1352</v>
      </c>
      <c r="L351" s="164"/>
      <c r="M351" s="177" t="s">
        <v>1353</v>
      </c>
      <c r="N351" s="178"/>
      <c r="O351" s="179" t="str">
        <f>P</f>
        <v>. . .</v>
      </c>
      <c r="P351" s="113" t="s">
        <v>1354</v>
      </c>
      <c r="Q351" s="113" t="str">
        <f>VI</f>
        <v>(25)</v>
      </c>
      <c r="R351" s="193" t="str">
        <f>VI</f>
        <v>(25)</v>
      </c>
      <c r="S351" s="189"/>
      <c r="T351" s="9"/>
      <c r="U351" s="10"/>
      <c r="V351" s="11"/>
      <c r="W351" s="185" t="str">
        <f>t</f>
        <v>TVO</v>
      </c>
      <c r="X351" s="185"/>
      <c r="Y351" s="35"/>
      <c r="Z351" s="35"/>
      <c r="AA351" s="170"/>
      <c r="AB351" s="237"/>
      <c r="AC351" s="20"/>
      <c r="AD351" s="132"/>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row>
    <row r="352" spans="1:92" s="1" customFormat="1" ht="12.75">
      <c r="A352" s="578"/>
      <c r="B352" s="632"/>
      <c r="C352" s="675" t="s">
        <v>1355</v>
      </c>
      <c r="D352" s="73"/>
      <c r="E352" s="125"/>
      <c r="F352" s="163"/>
      <c r="G352" s="127"/>
      <c r="H352" s="128"/>
      <c r="I352" s="78"/>
      <c r="J352" s="78"/>
      <c r="K352" s="252"/>
      <c r="L352" s="164"/>
      <c r="M352" s="177"/>
      <c r="N352" s="178"/>
      <c r="O352" s="179"/>
      <c r="P352" s="113"/>
      <c r="Q352" s="180"/>
      <c r="R352" s="181"/>
      <c r="S352" s="189"/>
      <c r="T352" s="9"/>
      <c r="U352" s="10"/>
      <c r="V352" s="11"/>
      <c r="W352" s="88"/>
      <c r="X352" s="88"/>
      <c r="Y352" s="170">
        <v>4004</v>
      </c>
      <c r="Z352" s="170">
        <v>9348</v>
      </c>
      <c r="AA352" s="170"/>
      <c r="AB352" s="237"/>
      <c r="AC352" s="20"/>
      <c r="AD352" s="132"/>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row>
    <row r="353" spans="1:92" s="588" customFormat="1" ht="12.75">
      <c r="A353" s="578"/>
      <c r="B353" s="632"/>
      <c r="C353" s="675" t="s">
        <v>1356</v>
      </c>
      <c r="D353" s="73"/>
      <c r="E353" s="125"/>
      <c r="F353" s="163"/>
      <c r="G353" s="127"/>
      <c r="H353" s="128"/>
      <c r="I353" s="78"/>
      <c r="J353" s="78"/>
      <c r="K353" s="252"/>
      <c r="L353" s="164"/>
      <c r="M353" s="177"/>
      <c r="N353" s="178"/>
      <c r="O353" s="179"/>
      <c r="P353" s="113"/>
      <c r="Q353" s="180"/>
      <c r="R353" s="181"/>
      <c r="S353" s="189"/>
      <c r="T353" s="9"/>
      <c r="U353" s="10"/>
      <c r="V353" s="11"/>
      <c r="W353" s="88"/>
      <c r="X353" s="88"/>
      <c r="Y353" s="557"/>
      <c r="Z353" s="557"/>
      <c r="AA353" s="647"/>
      <c r="AB353" s="668"/>
      <c r="AC353" s="583"/>
      <c r="AD353" s="669"/>
      <c r="AE353" s="586"/>
      <c r="AF353" s="586"/>
      <c r="AG353" s="586"/>
      <c r="AH353" s="586"/>
      <c r="AI353" s="586"/>
      <c r="AJ353" s="586"/>
      <c r="AK353" s="586"/>
      <c r="AL353" s="586"/>
      <c r="AM353" s="586"/>
      <c r="AN353" s="586"/>
      <c r="AO353" s="586"/>
      <c r="AP353" s="586"/>
      <c r="AQ353" s="586"/>
      <c r="AR353" s="586"/>
      <c r="AS353" s="586"/>
      <c r="AT353" s="586"/>
      <c r="AU353" s="586"/>
      <c r="AV353" s="586"/>
      <c r="AW353" s="586"/>
      <c r="AX353" s="586"/>
      <c r="AY353" s="586"/>
      <c r="AZ353" s="586"/>
      <c r="BA353" s="586"/>
      <c r="BB353" s="586"/>
      <c r="BC353" s="586"/>
      <c r="BD353" s="586"/>
      <c r="BE353" s="586"/>
      <c r="BF353" s="586"/>
      <c r="BG353" s="586"/>
      <c r="BH353" s="587"/>
      <c r="BI353" s="587"/>
      <c r="BJ353" s="587"/>
      <c r="BK353" s="587"/>
      <c r="BL353" s="587"/>
      <c r="BM353" s="587"/>
      <c r="BN353" s="587"/>
      <c r="BO353" s="587"/>
      <c r="BP353" s="587"/>
      <c r="BQ353" s="587"/>
      <c r="BR353" s="587"/>
      <c r="BS353" s="587"/>
      <c r="BT353" s="587"/>
      <c r="BU353" s="587"/>
      <c r="BV353" s="587"/>
      <c r="BW353" s="587"/>
      <c r="BX353" s="587"/>
      <c r="BY353" s="587"/>
      <c r="BZ353" s="587"/>
      <c r="CA353" s="587"/>
      <c r="CB353" s="587"/>
      <c r="CC353" s="587"/>
      <c r="CD353" s="587"/>
      <c r="CE353" s="587"/>
      <c r="CF353" s="587"/>
      <c r="CG353" s="587"/>
      <c r="CH353" s="587"/>
      <c r="CI353" s="587"/>
      <c r="CJ353" s="587"/>
      <c r="CK353" s="587"/>
      <c r="CL353" s="587"/>
      <c r="CM353" s="587"/>
      <c r="CN353" s="587"/>
    </row>
    <row r="354" spans="1:92" s="1" customFormat="1" ht="12.75">
      <c r="A354" s="578">
        <v>172</v>
      </c>
      <c r="B354" s="632" t="s">
        <v>1357</v>
      </c>
      <c r="C354" s="675" t="s">
        <v>1358</v>
      </c>
      <c r="D354" s="73" t="s">
        <v>1359</v>
      </c>
      <c r="E354" s="125" t="s">
        <v>1360</v>
      </c>
      <c r="F354" s="163"/>
      <c r="G354" s="127"/>
      <c r="H354" s="128"/>
      <c r="I354" s="78" t="str">
        <f>R</f>
        <v>Réelle</v>
      </c>
      <c r="J354" s="78" t="s">
        <v>1361</v>
      </c>
      <c r="K354" s="252" t="s">
        <v>1362</v>
      </c>
      <c r="L354" s="164"/>
      <c r="M354" s="177" t="str">
        <f>"(9)"</f>
        <v>(9)</v>
      </c>
      <c r="N354" s="178"/>
      <c r="O354" s="179" t="str">
        <f>P</f>
        <v>. . .</v>
      </c>
      <c r="P354" s="113" t="s">
        <v>1363</v>
      </c>
      <c r="Q354" s="113" t="str">
        <f>VI</f>
        <v>(25)</v>
      </c>
      <c r="R354" s="193" t="str">
        <f>VI</f>
        <v>(25)</v>
      </c>
      <c r="S354" s="189"/>
      <c r="T354" s="9"/>
      <c r="U354" s="10"/>
      <c r="V354" s="11"/>
      <c r="W354" s="185" t="str">
        <f>t</f>
        <v>TVO</v>
      </c>
      <c r="X354" s="185"/>
      <c r="Y354" s="35"/>
      <c r="Z354" s="35"/>
      <c r="AA354" s="35"/>
      <c r="AB354" s="237"/>
      <c r="AC354" s="20"/>
      <c r="AD354" s="132"/>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row>
    <row r="355" spans="1:92" s="1" customFormat="1" ht="12.75">
      <c r="A355" s="578">
        <v>173</v>
      </c>
      <c r="B355" s="632" t="s">
        <v>1364</v>
      </c>
      <c r="C355" s="675" t="s">
        <v>1365</v>
      </c>
      <c r="D355" s="73" t="s">
        <v>1366</v>
      </c>
      <c r="E355" s="125" t="s">
        <v>1367</v>
      </c>
      <c r="F355" s="163"/>
      <c r="G355" s="127"/>
      <c r="H355" s="128"/>
      <c r="I355" s="78" t="str">
        <f>R</f>
        <v>Réelle</v>
      </c>
      <c r="J355" s="78" t="str">
        <f>P</f>
        <v>. . .</v>
      </c>
      <c r="K355" s="252" t="s">
        <v>1368</v>
      </c>
      <c r="L355" s="164"/>
      <c r="M355" s="319" t="s">
        <v>1369</v>
      </c>
      <c r="N355" s="320"/>
      <c r="O355" s="321" t="str">
        <f>P</f>
        <v>. . .</v>
      </c>
      <c r="P355" s="113" t="s">
        <v>1370</v>
      </c>
      <c r="Q355" s="113" t="str">
        <f>VI</f>
        <v>(25)</v>
      </c>
      <c r="R355" s="193" t="str">
        <f>VI</f>
        <v>(25)</v>
      </c>
      <c r="S355" s="626"/>
      <c r="T355" s="596"/>
      <c r="U355" s="597"/>
      <c r="V355" s="598"/>
      <c r="W355" s="185" t="str">
        <f>t</f>
        <v>TVO</v>
      </c>
      <c r="X355" s="185"/>
      <c r="Y355" s="170">
        <v>4004</v>
      </c>
      <c r="Z355" s="170">
        <v>9348</v>
      </c>
      <c r="AA355" s="170">
        <v>9301</v>
      </c>
      <c r="AB355" s="237"/>
      <c r="AC355" s="20"/>
      <c r="AD355" s="132"/>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row>
    <row r="356" spans="1:92" s="1" customFormat="1" ht="12.75">
      <c r="A356" s="578"/>
      <c r="B356" s="632"/>
      <c r="C356" s="673" t="s">
        <v>1371</v>
      </c>
      <c r="D356" s="73"/>
      <c r="E356" s="125"/>
      <c r="F356" s="163"/>
      <c r="G356" s="127"/>
      <c r="H356" s="128"/>
      <c r="I356" s="78"/>
      <c r="J356" s="78"/>
      <c r="K356" s="252"/>
      <c r="L356" s="164"/>
      <c r="M356" s="177"/>
      <c r="N356" s="178"/>
      <c r="O356" s="179"/>
      <c r="P356" s="113"/>
      <c r="Q356" s="180"/>
      <c r="R356" s="181"/>
      <c r="S356" s="189"/>
      <c r="T356" s="9"/>
      <c r="U356" s="10"/>
      <c r="V356" s="11"/>
      <c r="W356" s="88"/>
      <c r="X356" s="88"/>
      <c r="Y356" s="170">
        <v>9301</v>
      </c>
      <c r="Z356" s="170"/>
      <c r="AA356" s="170"/>
      <c r="AB356" s="237"/>
      <c r="AC356" s="20"/>
      <c r="AD356" s="132"/>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row>
    <row r="357" spans="1:92" s="1" customFormat="1" ht="12.75">
      <c r="A357" s="578">
        <v>174</v>
      </c>
      <c r="B357" s="632" t="s">
        <v>1372</v>
      </c>
      <c r="C357" s="675" t="s">
        <v>1373</v>
      </c>
      <c r="D357" s="73" t="s">
        <v>1374</v>
      </c>
      <c r="E357" s="125" t="s">
        <v>1375</v>
      </c>
      <c r="F357" s="163"/>
      <c r="G357" s="127"/>
      <c r="H357" s="128"/>
      <c r="I357" s="78" t="str">
        <f>R</f>
        <v>Réelle</v>
      </c>
      <c r="J357" s="78" t="s">
        <v>1376</v>
      </c>
      <c r="K357" s="252" t="s">
        <v>1377</v>
      </c>
      <c r="L357" s="164"/>
      <c r="M357" s="177" t="str">
        <f>"(9)"</f>
        <v>(9)</v>
      </c>
      <c r="N357" s="178"/>
      <c r="O357" s="179" t="str">
        <f>P</f>
        <v>. . .</v>
      </c>
      <c r="P357" s="113" t="s">
        <v>1378</v>
      </c>
      <c r="Q357" s="113" t="str">
        <f>VI</f>
        <v>(25)</v>
      </c>
      <c r="R357" s="193" t="str">
        <f>VI</f>
        <v>(25)</v>
      </c>
      <c r="S357" s="199"/>
      <c r="T357" s="9"/>
      <c r="U357" s="10"/>
      <c r="V357" s="11"/>
      <c r="W357" s="185" t="str">
        <f>t</f>
        <v>TVO</v>
      </c>
      <c r="X357" s="185"/>
      <c r="Y357" s="35"/>
      <c r="Z357" s="35"/>
      <c r="AA357" s="35"/>
      <c r="AB357" s="237"/>
      <c r="AC357" s="20"/>
      <c r="AD357" s="132"/>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row>
    <row r="358" spans="1:92" s="1" customFormat="1" ht="12.75">
      <c r="A358" s="578">
        <v>175</v>
      </c>
      <c r="B358" s="632" t="s">
        <v>1379</v>
      </c>
      <c r="C358" s="675" t="s">
        <v>1380</v>
      </c>
      <c r="D358" s="73" t="s">
        <v>1381</v>
      </c>
      <c r="E358" s="125" t="s">
        <v>1382</v>
      </c>
      <c r="F358" s="163"/>
      <c r="G358" s="127"/>
      <c r="H358" s="128"/>
      <c r="I358" s="78" t="str">
        <f>R</f>
        <v>Réelle</v>
      </c>
      <c r="J358" s="78" t="str">
        <f>P</f>
        <v>. . .</v>
      </c>
      <c r="K358" s="252" t="s">
        <v>1383</v>
      </c>
      <c r="L358" s="164"/>
      <c r="M358" s="177" t="s">
        <v>1384</v>
      </c>
      <c r="N358" s="178"/>
      <c r="O358" s="179" t="str">
        <f>P</f>
        <v>. . .</v>
      </c>
      <c r="P358" s="113" t="s">
        <v>1385</v>
      </c>
      <c r="Q358" s="113" t="str">
        <f>VI</f>
        <v>(25)</v>
      </c>
      <c r="R358" s="193" t="str">
        <f>VI</f>
        <v>(25)</v>
      </c>
      <c r="S358" s="199"/>
      <c r="T358" s="9"/>
      <c r="U358" s="10"/>
      <c r="V358" s="11"/>
      <c r="W358" s="185" t="str">
        <f>t</f>
        <v>TVO</v>
      </c>
      <c r="X358" s="185"/>
      <c r="Y358" s="170">
        <v>4004</v>
      </c>
      <c r="Z358" s="170">
        <v>9348</v>
      </c>
      <c r="AA358" s="35"/>
      <c r="AB358" s="237"/>
      <c r="AC358" s="20"/>
      <c r="AD358" s="132"/>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row>
    <row r="359" spans="1:92" s="1" customFormat="1" ht="12.75">
      <c r="A359" s="578"/>
      <c r="B359" s="632"/>
      <c r="C359" s="673" t="s">
        <v>1386</v>
      </c>
      <c r="D359" s="73"/>
      <c r="E359" s="125"/>
      <c r="F359" s="163"/>
      <c r="G359" s="127"/>
      <c r="H359" s="128"/>
      <c r="I359" s="78"/>
      <c r="J359" s="78"/>
      <c r="K359" s="252"/>
      <c r="L359" s="164"/>
      <c r="M359" s="177"/>
      <c r="N359" s="178"/>
      <c r="O359" s="179"/>
      <c r="P359" s="113"/>
      <c r="Q359" s="180"/>
      <c r="R359" s="181"/>
      <c r="S359" s="189"/>
      <c r="T359" s="85"/>
      <c r="U359" s="86"/>
      <c r="V359" s="87"/>
      <c r="W359" s="88"/>
      <c r="X359" s="88"/>
      <c r="Y359" s="170"/>
      <c r="Z359" s="170"/>
      <c r="AA359" s="170"/>
      <c r="AB359" s="237"/>
      <c r="AC359" s="20"/>
      <c r="AD359" s="132"/>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row>
    <row r="360" spans="1:92" s="1" customFormat="1" ht="12.75">
      <c r="A360" s="578">
        <v>176</v>
      </c>
      <c r="B360" s="632" t="s">
        <v>1387</v>
      </c>
      <c r="C360" s="675" t="s">
        <v>1388</v>
      </c>
      <c r="D360" s="73" t="s">
        <v>1389</v>
      </c>
      <c r="E360" s="125" t="s">
        <v>1390</v>
      </c>
      <c r="F360" s="163"/>
      <c r="G360" s="127"/>
      <c r="H360" s="128"/>
      <c r="I360" s="78" t="str">
        <f>R</f>
        <v>Réelle</v>
      </c>
      <c r="J360" s="78" t="s">
        <v>1391</v>
      </c>
      <c r="K360" s="252" t="s">
        <v>1392</v>
      </c>
      <c r="L360" s="164"/>
      <c r="M360" s="177" t="str">
        <f>"(9)"</f>
        <v>(9)</v>
      </c>
      <c r="N360" s="178"/>
      <c r="O360" s="179" t="str">
        <f>P</f>
        <v>. . .</v>
      </c>
      <c r="P360" s="113" t="s">
        <v>1393</v>
      </c>
      <c r="Q360" s="113" t="str">
        <f>VI</f>
        <v>(25)</v>
      </c>
      <c r="R360" s="193" t="str">
        <f>VI</f>
        <v>(25)</v>
      </c>
      <c r="S360" s="189"/>
      <c r="T360" s="9"/>
      <c r="U360" s="10"/>
      <c r="V360" s="11"/>
      <c r="W360" s="185" t="str">
        <f>t</f>
        <v>TVO</v>
      </c>
      <c r="X360" s="185"/>
      <c r="Y360" s="35"/>
      <c r="Z360" s="35"/>
      <c r="AA360" s="35"/>
      <c r="AB360" s="237"/>
      <c r="AC360" s="20"/>
      <c r="AD360" s="132"/>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row>
    <row r="361" spans="1:92" s="1" customFormat="1" ht="12.75">
      <c r="A361" s="578">
        <v>177</v>
      </c>
      <c r="B361" s="632" t="s">
        <v>1394</v>
      </c>
      <c r="C361" s="675" t="s">
        <v>1395</v>
      </c>
      <c r="D361" s="73" t="s">
        <v>1396</v>
      </c>
      <c r="E361" s="125" t="s">
        <v>1397</v>
      </c>
      <c r="F361" s="163"/>
      <c r="G361" s="127"/>
      <c r="H361" s="128"/>
      <c r="I361" s="78" t="str">
        <f>R</f>
        <v>Réelle</v>
      </c>
      <c r="J361" s="78" t="str">
        <f>P</f>
        <v>. . .</v>
      </c>
      <c r="K361" s="252" t="s">
        <v>1398</v>
      </c>
      <c r="L361" s="164"/>
      <c r="M361" s="177" t="s">
        <v>1399</v>
      </c>
      <c r="N361" s="178"/>
      <c r="O361" s="179" t="str">
        <f>P</f>
        <v>. . .</v>
      </c>
      <c r="P361" s="113" t="s">
        <v>1400</v>
      </c>
      <c r="Q361" s="113" t="str">
        <f>VI</f>
        <v>(25)</v>
      </c>
      <c r="R361" s="193" t="str">
        <f>VI</f>
        <v>(25)</v>
      </c>
      <c r="S361" s="199"/>
      <c r="T361" s="9"/>
      <c r="U361" s="10"/>
      <c r="V361" s="11"/>
      <c r="W361" s="185" t="str">
        <f>t</f>
        <v>TVO</v>
      </c>
      <c r="X361" s="185"/>
      <c r="Y361" s="170">
        <v>4004</v>
      </c>
      <c r="Z361" s="170">
        <v>9348</v>
      </c>
      <c r="AA361" s="35">
        <v>9301</v>
      </c>
      <c r="AB361" s="237"/>
      <c r="AC361" s="20"/>
      <c r="AD361" s="132"/>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row>
    <row r="362" spans="1:92" s="1" customFormat="1" ht="12.75">
      <c r="A362" s="578"/>
      <c r="B362" s="632"/>
      <c r="C362" s="673" t="s">
        <v>1401</v>
      </c>
      <c r="D362" s="73"/>
      <c r="E362" s="125"/>
      <c r="F362" s="163"/>
      <c r="G362" s="127"/>
      <c r="H362" s="128"/>
      <c r="I362" s="78"/>
      <c r="J362" s="78"/>
      <c r="K362" s="252"/>
      <c r="L362" s="164"/>
      <c r="M362" s="177"/>
      <c r="N362" s="178"/>
      <c r="O362" s="179"/>
      <c r="P362" s="113"/>
      <c r="Q362" s="180"/>
      <c r="R362" s="181"/>
      <c r="S362" s="199"/>
      <c r="T362" s="9"/>
      <c r="U362" s="10"/>
      <c r="V362" s="11"/>
      <c r="W362" s="88"/>
      <c r="X362" s="88"/>
      <c r="Y362" s="170">
        <v>4004</v>
      </c>
      <c r="Z362" s="170">
        <v>9348</v>
      </c>
      <c r="AA362" s="170">
        <v>9301</v>
      </c>
      <c r="AB362" s="237"/>
      <c r="AC362" s="20"/>
      <c r="AD362" s="132"/>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row>
    <row r="363" spans="1:92" s="1" customFormat="1" ht="12.75">
      <c r="A363" s="578">
        <v>178</v>
      </c>
      <c r="B363" s="632" t="s">
        <v>1402</v>
      </c>
      <c r="C363" s="675" t="s">
        <v>1403</v>
      </c>
      <c r="D363" s="73" t="s">
        <v>1404</v>
      </c>
      <c r="E363" s="125" t="s">
        <v>1405</v>
      </c>
      <c r="F363" s="163"/>
      <c r="G363" s="127"/>
      <c r="H363" s="128"/>
      <c r="I363" s="78" t="str">
        <f>R</f>
        <v>Réelle</v>
      </c>
      <c r="J363" s="78" t="str">
        <f>P</f>
        <v>. . .</v>
      </c>
      <c r="K363" s="252" t="s">
        <v>1406</v>
      </c>
      <c r="L363" s="164"/>
      <c r="M363" s="177" t="str">
        <f>"(9)"</f>
        <v>(9)</v>
      </c>
      <c r="N363" s="178"/>
      <c r="O363" s="179" t="str">
        <f>P</f>
        <v>. . .</v>
      </c>
      <c r="P363" s="113" t="s">
        <v>1407</v>
      </c>
      <c r="Q363" s="113" t="str">
        <f>VI</f>
        <v>(25)</v>
      </c>
      <c r="R363" s="193" t="str">
        <f>VI</f>
        <v>(25)</v>
      </c>
      <c r="T363" s="9"/>
      <c r="U363" s="10"/>
      <c r="V363" s="11"/>
      <c r="W363" s="185" t="str">
        <f>t</f>
        <v>TVO</v>
      </c>
      <c r="X363" s="185"/>
      <c r="Y363" s="170">
        <v>4004</v>
      </c>
      <c r="Z363" s="170">
        <v>9348</v>
      </c>
      <c r="AA363" s="35">
        <v>9301</v>
      </c>
      <c r="AB363" s="237"/>
      <c r="AC363" s="20"/>
      <c r="AD363" s="132"/>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row>
    <row r="364" spans="1:92" s="1" customFormat="1" ht="12.75">
      <c r="A364" s="578">
        <v>179</v>
      </c>
      <c r="B364" s="632" t="s">
        <v>1408</v>
      </c>
      <c r="C364" s="675" t="s">
        <v>1409</v>
      </c>
      <c r="D364" s="73" t="s">
        <v>1410</v>
      </c>
      <c r="E364" s="125" t="s">
        <v>1411</v>
      </c>
      <c r="F364" s="163"/>
      <c r="G364" s="127"/>
      <c r="H364" s="128"/>
      <c r="I364" s="78" t="str">
        <f>R</f>
        <v>Réelle</v>
      </c>
      <c r="J364" s="78" t="str">
        <f>P</f>
        <v>. . .</v>
      </c>
      <c r="K364" s="252" t="s">
        <v>1412</v>
      </c>
      <c r="L364" s="164"/>
      <c r="M364" s="177" t="str">
        <f>"(9)"</f>
        <v>(9)</v>
      </c>
      <c r="N364" s="178"/>
      <c r="O364" s="179" t="str">
        <f>P</f>
        <v>. . .</v>
      </c>
      <c r="P364" s="113" t="s">
        <v>1413</v>
      </c>
      <c r="Q364" s="113" t="str">
        <f>VI</f>
        <v>(25)</v>
      </c>
      <c r="R364" s="193" t="str">
        <f>VI</f>
        <v>(25)</v>
      </c>
      <c r="T364" s="9"/>
      <c r="U364" s="10"/>
      <c r="V364" s="11"/>
      <c r="W364" s="185" t="str">
        <f>t</f>
        <v>TVO</v>
      </c>
      <c r="X364" s="185"/>
      <c r="Y364" s="170"/>
      <c r="Z364" s="170"/>
      <c r="AA364" s="35"/>
      <c r="AB364" s="237"/>
      <c r="AC364" s="20"/>
      <c r="AD364" s="132"/>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row>
    <row r="365" spans="1:92" s="603" customFormat="1" ht="12.75">
      <c r="A365" s="578">
        <v>180</v>
      </c>
      <c r="B365" s="632" t="s">
        <v>1414</v>
      </c>
      <c r="C365" s="675" t="s">
        <v>1415</v>
      </c>
      <c r="D365" s="73" t="s">
        <v>1416</v>
      </c>
      <c r="E365" s="125" t="s">
        <v>1417</v>
      </c>
      <c r="F365" s="163"/>
      <c r="G365" s="127"/>
      <c r="H365" s="128"/>
      <c r="I365" s="78" t="str">
        <f>R</f>
        <v>Réelle</v>
      </c>
      <c r="J365" s="78" t="str">
        <f>P</f>
        <v>. . .</v>
      </c>
      <c r="K365" s="252" t="s">
        <v>1418</v>
      </c>
      <c r="L365" s="164"/>
      <c r="M365" s="177" t="str">
        <f>"(9)"</f>
        <v>(9)</v>
      </c>
      <c r="N365" s="178"/>
      <c r="O365" s="179" t="str">
        <f>P</f>
        <v>. . .</v>
      </c>
      <c r="P365" s="113" t="s">
        <v>1419</v>
      </c>
      <c r="Q365" s="113" t="str">
        <f>VI</f>
        <v>(25)</v>
      </c>
      <c r="R365" s="193" t="str">
        <f>VI</f>
        <v>(25)</v>
      </c>
      <c r="T365" s="9"/>
      <c r="U365" s="10"/>
      <c r="V365" s="11"/>
      <c r="W365" s="185" t="str">
        <f>t</f>
        <v>TVO</v>
      </c>
      <c r="X365" s="185"/>
      <c r="Y365" s="35"/>
      <c r="Z365" s="35"/>
      <c r="AA365" s="170"/>
      <c r="AB365" s="237"/>
      <c r="AC365" s="20"/>
      <c r="AD365" s="132"/>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row>
    <row r="366" spans="1:92" s="1" customFormat="1" ht="12.75">
      <c r="A366" s="578"/>
      <c r="B366" s="632"/>
      <c r="C366" s="675"/>
      <c r="D366" s="73"/>
      <c r="E366" s="125"/>
      <c r="F366" s="163"/>
      <c r="G366" s="127"/>
      <c r="H366" s="128"/>
      <c r="I366" s="78"/>
      <c r="J366" s="78"/>
      <c r="K366" s="252"/>
      <c r="L366" s="164"/>
      <c r="M366" s="177"/>
      <c r="N366" s="178"/>
      <c r="O366" s="179"/>
      <c r="P366" s="113"/>
      <c r="Q366" s="113"/>
      <c r="R366" s="193"/>
      <c r="S366" s="189"/>
      <c r="T366" s="9"/>
      <c r="U366" s="10"/>
      <c r="V366" s="11"/>
      <c r="W366" s="185"/>
      <c r="X366" s="185"/>
      <c r="Y366" s="170">
        <v>4004</v>
      </c>
      <c r="Z366" s="170">
        <v>9348</v>
      </c>
      <c r="AA366" s="35">
        <v>9301</v>
      </c>
      <c r="AB366" s="237"/>
      <c r="AC366" s="20"/>
      <c r="AD366" s="132"/>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row>
    <row r="367" spans="1:92" s="1" customFormat="1" ht="12.75">
      <c r="A367" s="578"/>
      <c r="B367" s="632"/>
      <c r="C367" s="675" t="s">
        <v>1420</v>
      </c>
      <c r="D367" s="73"/>
      <c r="E367" s="125"/>
      <c r="F367" s="163"/>
      <c r="G367" s="127"/>
      <c r="H367" s="128"/>
      <c r="I367" s="78"/>
      <c r="J367" s="78"/>
      <c r="K367" s="252"/>
      <c r="L367" s="164"/>
      <c r="M367" s="177"/>
      <c r="N367" s="178"/>
      <c r="O367" s="179"/>
      <c r="P367" s="113"/>
      <c r="Q367" s="180"/>
      <c r="R367" s="181"/>
      <c r="S367" s="199"/>
      <c r="T367" s="85"/>
      <c r="U367" s="86"/>
      <c r="V367" s="87"/>
      <c r="W367" s="88"/>
      <c r="X367" s="88"/>
      <c r="Y367" s="170">
        <v>9301</v>
      </c>
      <c r="Z367" s="170"/>
      <c r="AA367" s="35"/>
      <c r="AB367" s="237"/>
      <c r="AC367" s="20"/>
      <c r="AD367" s="132"/>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row>
    <row r="368" spans="1:92" s="1" customFormat="1" ht="12.75">
      <c r="A368" s="578">
        <v>181</v>
      </c>
      <c r="B368" s="632" t="s">
        <v>1421</v>
      </c>
      <c r="C368" s="675" t="s">
        <v>1422</v>
      </c>
      <c r="D368" s="73" t="s">
        <v>1423</v>
      </c>
      <c r="E368" s="125" t="s">
        <v>1424</v>
      </c>
      <c r="F368" s="163"/>
      <c r="G368" s="127"/>
      <c r="H368" s="128"/>
      <c r="I368" s="78" t="str">
        <f>R</f>
        <v>Réelle</v>
      </c>
      <c r="J368" s="78" t="s">
        <v>1425</v>
      </c>
      <c r="K368" s="252" t="s">
        <v>1426</v>
      </c>
      <c r="L368" s="164"/>
      <c r="M368" s="177" t="str">
        <f>"(9)"</f>
        <v>(9)</v>
      </c>
      <c r="N368" s="178"/>
      <c r="O368" s="179" t="str">
        <f>P</f>
        <v>. . .</v>
      </c>
      <c r="P368" s="113" t="s">
        <v>1427</v>
      </c>
      <c r="Q368" s="113" t="str">
        <f>VI</f>
        <v>(25)</v>
      </c>
      <c r="R368" s="193" t="str">
        <f>VI</f>
        <v>(25)</v>
      </c>
      <c r="S368" s="199"/>
      <c r="T368" s="9"/>
      <c r="U368" s="10"/>
      <c r="V368" s="11"/>
      <c r="W368" s="185" t="str">
        <f>t</f>
        <v>TVO</v>
      </c>
      <c r="X368" s="185"/>
      <c r="Y368" s="35"/>
      <c r="Z368" s="35"/>
      <c r="AA368" s="35"/>
      <c r="AB368" s="237"/>
      <c r="AC368" s="20"/>
      <c r="AD368" s="132"/>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row>
    <row r="369" spans="1:92" s="1" customFormat="1" ht="12.75">
      <c r="A369" s="578">
        <v>182</v>
      </c>
      <c r="B369" s="632" t="s">
        <v>1428</v>
      </c>
      <c r="C369" s="675" t="s">
        <v>1429</v>
      </c>
      <c r="D369" s="73" t="s">
        <v>1430</v>
      </c>
      <c r="E369" s="125" t="s">
        <v>1431</v>
      </c>
      <c r="F369" s="163"/>
      <c r="G369" s="127"/>
      <c r="H369" s="128"/>
      <c r="I369" s="78" t="str">
        <f>R</f>
        <v>Réelle</v>
      </c>
      <c r="J369" s="78" t="str">
        <f>P</f>
        <v>. . .</v>
      </c>
      <c r="K369" s="252" t="s">
        <v>1432</v>
      </c>
      <c r="L369" s="164"/>
      <c r="M369" s="177" t="s">
        <v>1433</v>
      </c>
      <c r="N369" s="178"/>
      <c r="O369" s="179" t="str">
        <f>P</f>
        <v>. . .</v>
      </c>
      <c r="P369" s="113" t="s">
        <v>1434</v>
      </c>
      <c r="Q369" s="113" t="str">
        <f>VI</f>
        <v>(25)</v>
      </c>
      <c r="R369" s="193" t="str">
        <f>VI</f>
        <v>(25)</v>
      </c>
      <c r="S369" s="189"/>
      <c r="T369" s="9"/>
      <c r="U369" s="10"/>
      <c r="V369" s="11"/>
      <c r="W369" s="185" t="str">
        <f>t</f>
        <v>TVO</v>
      </c>
      <c r="X369" s="185"/>
      <c r="Y369" s="35"/>
      <c r="Z369" s="35"/>
      <c r="AA369" s="35"/>
      <c r="AB369" s="237"/>
      <c r="AC369" s="20"/>
      <c r="AD369" s="132"/>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row>
    <row r="370" spans="1:92" s="1" customFormat="1" ht="12.75">
      <c r="A370" s="578"/>
      <c r="B370" s="632"/>
      <c r="C370" s="675"/>
      <c r="D370" s="73"/>
      <c r="E370" s="125"/>
      <c r="F370" s="163"/>
      <c r="G370" s="127"/>
      <c r="H370" s="128"/>
      <c r="I370" s="78"/>
      <c r="J370" s="78"/>
      <c r="K370" s="252"/>
      <c r="L370" s="164"/>
      <c r="M370" s="177"/>
      <c r="N370" s="178"/>
      <c r="O370" s="179"/>
      <c r="P370" s="113"/>
      <c r="Q370" s="180"/>
      <c r="R370" s="181"/>
      <c r="S370" s="199"/>
      <c r="T370" s="85"/>
      <c r="U370" s="86"/>
      <c r="V370" s="87"/>
      <c r="W370" s="88"/>
      <c r="X370" s="88"/>
      <c r="Y370" s="170"/>
      <c r="Z370" s="170"/>
      <c r="AA370" s="170"/>
      <c r="AB370" s="237"/>
      <c r="AC370" s="20"/>
      <c r="AD370" s="132"/>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row>
    <row r="371" spans="1:92" s="564" customFormat="1" ht="12.75">
      <c r="A371" s="614"/>
      <c r="B371" s="640"/>
      <c r="C371" s="679"/>
      <c r="D371" s="225"/>
      <c r="E371" s="226"/>
      <c r="F371" s="227"/>
      <c r="G371" s="228"/>
      <c r="H371" s="229"/>
      <c r="I371" s="230"/>
      <c r="J371" s="230"/>
      <c r="K371" s="677"/>
      <c r="L371" s="231"/>
      <c r="M371" s="547"/>
      <c r="N371" s="548"/>
      <c r="O371" s="549"/>
      <c r="P371" s="235"/>
      <c r="Q371" s="550"/>
      <c r="R371" s="551"/>
      <c r="S371" s="678"/>
      <c r="T371" s="649"/>
      <c r="U371" s="650"/>
      <c r="V371" s="651"/>
      <c r="W371" s="652"/>
      <c r="X371" s="652"/>
      <c r="Y371" s="557"/>
      <c r="Z371" s="557"/>
      <c r="AA371" s="647"/>
      <c r="AB371" s="668"/>
      <c r="AC371" s="559"/>
      <c r="AD371" s="669"/>
      <c r="AE371" s="586"/>
      <c r="AF371" s="586"/>
      <c r="AG371" s="586"/>
      <c r="AH371" s="586"/>
      <c r="AI371" s="586"/>
      <c r="AJ371" s="586"/>
      <c r="AK371" s="586"/>
      <c r="AL371" s="586"/>
      <c r="AM371" s="586"/>
      <c r="AN371" s="586"/>
      <c r="AO371" s="586"/>
      <c r="AP371" s="586"/>
      <c r="AQ371" s="586"/>
      <c r="AR371" s="586"/>
      <c r="AS371" s="586"/>
      <c r="AT371" s="586"/>
      <c r="AU371" s="586"/>
      <c r="AV371" s="586"/>
      <c r="AW371" s="586"/>
      <c r="AX371" s="586"/>
      <c r="AY371" s="586"/>
      <c r="AZ371" s="586"/>
      <c r="BA371" s="586"/>
      <c r="BB371" s="586"/>
      <c r="BC371" s="586"/>
      <c r="BD371" s="586"/>
      <c r="BE371" s="586"/>
      <c r="BF371" s="586"/>
      <c r="BG371" s="586"/>
      <c r="BH371" s="563"/>
      <c r="BI371" s="563"/>
      <c r="BJ371" s="563"/>
      <c r="BK371" s="563"/>
      <c r="BL371" s="563"/>
      <c r="BM371" s="563"/>
      <c r="BN371" s="563"/>
      <c r="BO371" s="563"/>
      <c r="BP371" s="563"/>
      <c r="BQ371" s="563"/>
      <c r="BR371" s="563"/>
      <c r="BS371" s="563"/>
      <c r="BT371" s="563"/>
      <c r="BU371" s="563"/>
      <c r="BV371" s="563"/>
      <c r="BW371" s="563"/>
      <c r="BX371" s="563"/>
      <c r="BY371" s="563"/>
      <c r="BZ371" s="563"/>
      <c r="CA371" s="563"/>
      <c r="CB371" s="563"/>
      <c r="CC371" s="563"/>
      <c r="CD371" s="563"/>
      <c r="CE371" s="563"/>
      <c r="CF371" s="563"/>
      <c r="CG371" s="563"/>
      <c r="CH371" s="563"/>
      <c r="CI371" s="563"/>
      <c r="CJ371" s="563"/>
      <c r="CK371" s="563"/>
      <c r="CL371" s="563"/>
      <c r="CM371" s="563"/>
      <c r="CN371" s="563"/>
    </row>
    <row r="372" spans="1:92" s="1" customFormat="1" ht="12.75">
      <c r="A372" s="578"/>
      <c r="B372" s="680"/>
      <c r="C372" s="681" t="s">
        <v>1435</v>
      </c>
      <c r="D372" s="73"/>
      <c r="E372" s="125"/>
      <c r="F372" s="163"/>
      <c r="G372" s="127"/>
      <c r="H372" s="128"/>
      <c r="I372" s="78"/>
      <c r="J372" s="78"/>
      <c r="K372" s="252"/>
      <c r="L372" s="164"/>
      <c r="M372" s="177"/>
      <c r="N372" s="178"/>
      <c r="O372" s="179"/>
      <c r="P372" s="113"/>
      <c r="Q372" s="180"/>
      <c r="R372" s="181"/>
      <c r="S372" s="199"/>
      <c r="T372" s="182"/>
      <c r="U372" s="183"/>
      <c r="V372" s="184"/>
      <c r="W372" s="185"/>
      <c r="X372" s="185"/>
      <c r="Y372" s="170"/>
      <c r="Z372" s="170"/>
      <c r="AA372" s="35"/>
      <c r="AB372" s="237"/>
      <c r="AC372" s="20"/>
      <c r="AD372" s="132"/>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row>
    <row r="373" spans="1:92" s="1" customFormat="1" ht="12.75">
      <c r="A373" s="578"/>
      <c r="B373" s="632"/>
      <c r="C373" s="682" t="s">
        <v>1436</v>
      </c>
      <c r="D373" s="73"/>
      <c r="E373" s="125"/>
      <c r="F373" s="163"/>
      <c r="G373" s="127"/>
      <c r="H373" s="128"/>
      <c r="I373" s="78"/>
      <c r="J373" s="78"/>
      <c r="K373" s="252"/>
      <c r="L373" s="164"/>
      <c r="M373" s="177"/>
      <c r="N373" s="178"/>
      <c r="O373" s="179"/>
      <c r="P373" s="113"/>
      <c r="Q373" s="180"/>
      <c r="R373" s="181"/>
      <c r="S373" s="199"/>
      <c r="T373" s="182"/>
      <c r="U373" s="183"/>
      <c r="V373" s="184"/>
      <c r="W373" s="185"/>
      <c r="X373" s="185"/>
      <c r="Y373" s="170"/>
      <c r="Z373" s="170"/>
      <c r="AA373" s="170"/>
      <c r="AB373" s="237"/>
      <c r="AC373" s="20"/>
      <c r="AD373" s="132"/>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row>
    <row r="374" spans="1:92" s="1" customFormat="1" ht="12.75">
      <c r="A374" s="578"/>
      <c r="B374" s="632"/>
      <c r="C374" s="682" t="s">
        <v>1437</v>
      </c>
      <c r="D374" s="73"/>
      <c r="E374" s="125"/>
      <c r="F374" s="163"/>
      <c r="G374" s="127"/>
      <c r="H374" s="128"/>
      <c r="I374" s="78"/>
      <c r="J374" s="78"/>
      <c r="K374" s="252"/>
      <c r="L374" s="164"/>
      <c r="M374" s="177"/>
      <c r="N374" s="178"/>
      <c r="O374" s="179"/>
      <c r="P374" s="113"/>
      <c r="Q374" s="180"/>
      <c r="R374" s="181"/>
      <c r="S374" s="189"/>
      <c r="T374" s="182"/>
      <c r="U374" s="183"/>
      <c r="V374" s="184"/>
      <c r="W374" s="185"/>
      <c r="X374" s="185"/>
      <c r="Y374" s="170"/>
      <c r="Z374" s="170"/>
      <c r="AA374" s="170"/>
      <c r="AB374" s="237"/>
      <c r="AC374" s="20"/>
      <c r="AD374" s="132"/>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row>
    <row r="375" spans="1:92" s="1" customFormat="1" ht="12.75">
      <c r="A375" s="578"/>
      <c r="B375" s="632"/>
      <c r="C375" s="682" t="s">
        <v>1438</v>
      </c>
      <c r="D375" s="73"/>
      <c r="E375" s="125"/>
      <c r="F375" s="163"/>
      <c r="G375" s="127"/>
      <c r="H375" s="128"/>
      <c r="I375" s="78"/>
      <c r="J375" s="78"/>
      <c r="K375" s="252"/>
      <c r="L375" s="164"/>
      <c r="M375" s="177"/>
      <c r="N375" s="178"/>
      <c r="O375" s="179"/>
      <c r="P375" s="113"/>
      <c r="Q375" s="180"/>
      <c r="R375" s="181"/>
      <c r="S375" s="199"/>
      <c r="T375" s="182"/>
      <c r="U375" s="183"/>
      <c r="V375" s="184"/>
      <c r="W375" s="185"/>
      <c r="X375" s="185"/>
      <c r="Y375" s="170"/>
      <c r="Z375" s="170"/>
      <c r="AA375" s="170"/>
      <c r="AB375" s="237"/>
      <c r="AC375" s="20"/>
      <c r="AD375" s="132"/>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row>
    <row r="376" spans="1:92" s="1" customFormat="1" ht="12.75">
      <c r="A376" s="578"/>
      <c r="B376" s="632"/>
      <c r="C376" s="682" t="s">
        <v>1439</v>
      </c>
      <c r="D376" s="73"/>
      <c r="E376" s="125"/>
      <c r="F376" s="163"/>
      <c r="G376" s="127"/>
      <c r="H376" s="128"/>
      <c r="I376" s="78"/>
      <c r="J376" s="78"/>
      <c r="K376" s="252"/>
      <c r="L376" s="164"/>
      <c r="M376" s="177"/>
      <c r="N376" s="178"/>
      <c r="O376" s="179"/>
      <c r="P376" s="113"/>
      <c r="Q376" s="180"/>
      <c r="R376" s="181"/>
      <c r="S376" s="199"/>
      <c r="T376" s="182"/>
      <c r="U376" s="183"/>
      <c r="V376" s="184"/>
      <c r="W376" s="185"/>
      <c r="X376" s="185"/>
      <c r="Y376" s="170"/>
      <c r="Z376" s="170"/>
      <c r="AA376" s="170"/>
      <c r="AB376" s="237"/>
      <c r="AC376" s="20"/>
      <c r="AD376" s="132"/>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row>
    <row r="377" spans="1:92" s="1" customFormat="1" ht="12.75">
      <c r="A377" s="578"/>
      <c r="B377" s="632"/>
      <c r="C377" s="682" t="s">
        <v>1440</v>
      </c>
      <c r="D377" s="73"/>
      <c r="E377" s="125"/>
      <c r="F377" s="163"/>
      <c r="G377" s="127"/>
      <c r="H377" s="128"/>
      <c r="I377" s="78"/>
      <c r="J377" s="78"/>
      <c r="K377" s="252"/>
      <c r="L377" s="164"/>
      <c r="M377" s="177"/>
      <c r="N377" s="178"/>
      <c r="O377" s="179"/>
      <c r="P377" s="113"/>
      <c r="Q377" s="180"/>
      <c r="R377" s="181"/>
      <c r="S377" s="189"/>
      <c r="T377" s="182"/>
      <c r="U377" s="183"/>
      <c r="V377" s="184"/>
      <c r="W377" s="185"/>
      <c r="X377" s="185"/>
      <c r="Y377" s="170"/>
      <c r="Z377" s="170"/>
      <c r="AA377" s="170"/>
      <c r="AB377" s="237"/>
      <c r="AC377" s="20"/>
      <c r="AD377" s="132"/>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row>
    <row r="378" spans="1:92" s="1" customFormat="1" ht="12.75">
      <c r="A378" s="578"/>
      <c r="B378" s="632"/>
      <c r="C378" s="682" t="s">
        <v>1441</v>
      </c>
      <c r="D378" s="73"/>
      <c r="E378" s="125"/>
      <c r="F378" s="163"/>
      <c r="G378" s="127"/>
      <c r="H378" s="128"/>
      <c r="I378" s="78"/>
      <c r="J378" s="78"/>
      <c r="K378" s="252"/>
      <c r="L378" s="164"/>
      <c r="M378" s="177"/>
      <c r="N378" s="178"/>
      <c r="O378" s="179"/>
      <c r="P378" s="113"/>
      <c r="Q378" s="180"/>
      <c r="R378" s="181"/>
      <c r="S378" s="189"/>
      <c r="T378" s="182"/>
      <c r="U378" s="183"/>
      <c r="V378" s="184"/>
      <c r="W378" s="185"/>
      <c r="X378" s="185"/>
      <c r="Y378" s="170"/>
      <c r="Z378" s="170"/>
      <c r="AA378" s="170"/>
      <c r="AB378" s="237"/>
      <c r="AC378" s="20"/>
      <c r="AD378" s="132"/>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row>
    <row r="379" spans="1:92" s="1" customFormat="1" ht="12.75">
      <c r="A379" s="578"/>
      <c r="B379" s="632"/>
      <c r="C379" s="660" t="s">
        <v>1442</v>
      </c>
      <c r="D379" s="73"/>
      <c r="E379" s="125"/>
      <c r="F379" s="163"/>
      <c r="G379" s="127"/>
      <c r="H379" s="128"/>
      <c r="I379" s="78"/>
      <c r="J379" s="78"/>
      <c r="K379" s="252"/>
      <c r="L379" s="164"/>
      <c r="M379" s="177"/>
      <c r="N379" s="178"/>
      <c r="O379" s="179"/>
      <c r="P379" s="113"/>
      <c r="Q379" s="180"/>
      <c r="R379" s="181"/>
      <c r="S379" s="189"/>
      <c r="T379" s="182"/>
      <c r="U379" s="183"/>
      <c r="V379" s="184"/>
      <c r="W379" s="185"/>
      <c r="X379" s="185"/>
      <c r="Y379" s="170"/>
      <c r="Z379" s="170"/>
      <c r="AA379" s="170"/>
      <c r="AB379" s="237"/>
      <c r="AC379" s="20"/>
      <c r="AD379" s="132"/>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row>
    <row r="380" spans="1:92" s="1" customFormat="1" ht="12.75">
      <c r="A380" s="578">
        <v>183</v>
      </c>
      <c r="B380" s="634" t="s">
        <v>1443</v>
      </c>
      <c r="C380" s="683" t="s">
        <v>1444</v>
      </c>
      <c r="D380" s="263" t="s">
        <v>1445</v>
      </c>
      <c r="E380" s="264"/>
      <c r="F380" s="265"/>
      <c r="G380" s="490"/>
      <c r="H380" s="491"/>
      <c r="I380" s="268"/>
      <c r="J380" s="268"/>
      <c r="K380" s="269"/>
      <c r="L380" s="269"/>
      <c r="M380" s="270"/>
      <c r="N380" s="271"/>
      <c r="O380" s="272"/>
      <c r="P380" s="294"/>
      <c r="Q380" s="274"/>
      <c r="R380" s="275"/>
      <c r="S380" s="189"/>
      <c r="T380" s="182"/>
      <c r="U380" s="183"/>
      <c r="V380" s="184"/>
      <c r="W380" s="185"/>
      <c r="X380" s="185"/>
      <c r="Y380" s="276"/>
      <c r="Z380" s="276"/>
      <c r="AA380" s="170"/>
      <c r="AB380" s="237"/>
      <c r="AC380" s="20"/>
      <c r="AD380" s="132"/>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row>
    <row r="381" spans="1:92" s="1" customFormat="1" ht="12.75">
      <c r="A381" s="578"/>
      <c r="B381" s="89"/>
      <c r="C381" s="105" t="s">
        <v>1446</v>
      </c>
      <c r="D381" s="78" t="str">
        <f>P</f>
        <v>. . .</v>
      </c>
      <c r="E381" s="125">
        <f>4.6%</f>
        <v>0</v>
      </c>
      <c r="F381" s="163"/>
      <c r="G381" s="127" t="str">
        <f>P</f>
        <v>. . .</v>
      </c>
      <c r="H381" s="128" t="str">
        <f>P</f>
        <v>. . .</v>
      </c>
      <c r="I381" s="78">
        <f>VFHL</f>
        <v>22.87</v>
      </c>
      <c r="J381" s="78" t="s">
        <v>1447</v>
      </c>
      <c r="K381" s="661">
        <f>ROUND(I381*4.6%,2)</f>
        <v>1.05</v>
      </c>
      <c r="L381" s="164"/>
      <c r="M381" s="177" t="s">
        <v>1448</v>
      </c>
      <c r="N381" s="178"/>
      <c r="O381" s="179" t="str">
        <f>P</f>
        <v>. . .</v>
      </c>
      <c r="P381" s="113" t="s">
        <v>1449</v>
      </c>
      <c r="Q381" s="180">
        <f>TVALUBMETRO</f>
        <v>4.649120000000001</v>
      </c>
      <c r="R381" s="181">
        <f>TVALUBCORSE</f>
        <v>3.0836000000000006</v>
      </c>
      <c r="S381" s="189"/>
      <c r="T381" s="9"/>
      <c r="U381" s="10"/>
      <c r="V381" s="184"/>
      <c r="W381" s="190">
        <v>5900</v>
      </c>
      <c r="X381" s="190"/>
      <c r="Y381" s="170"/>
      <c r="Z381" s="170"/>
      <c r="AA381" s="170"/>
      <c r="AB381" s="237"/>
      <c r="AC381" s="20"/>
      <c r="AD381" s="132"/>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row>
    <row r="382" spans="1:92" s="1" customFormat="1" ht="12.75">
      <c r="A382" s="578"/>
      <c r="B382" s="632"/>
      <c r="C382" s="684" t="s">
        <v>1450</v>
      </c>
      <c r="D382" s="73"/>
      <c r="E382" s="125"/>
      <c r="F382" s="163"/>
      <c r="G382" s="127"/>
      <c r="H382" s="128"/>
      <c r="I382" s="78"/>
      <c r="J382" s="78"/>
      <c r="K382" s="252"/>
      <c r="L382" s="164"/>
      <c r="M382" s="177"/>
      <c r="N382" s="178"/>
      <c r="O382" s="179"/>
      <c r="P382" s="113"/>
      <c r="Q382" s="180"/>
      <c r="R382" s="275"/>
      <c r="S382" s="189"/>
      <c r="T382" s="279"/>
      <c r="U382" s="280"/>
      <c r="V382" s="281"/>
      <c r="W382" s="282"/>
      <c r="X382" s="282"/>
      <c r="Y382" s="276"/>
      <c r="Z382" s="276"/>
      <c r="AA382" s="170"/>
      <c r="AB382" s="237"/>
      <c r="AC382" s="20"/>
      <c r="AD382" s="132"/>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row>
    <row r="383" spans="1:92" s="1" customFormat="1" ht="24" customHeight="1">
      <c r="A383" s="578"/>
      <c r="B383" s="634"/>
      <c r="C383" s="684" t="s">
        <v>1451</v>
      </c>
      <c r="D383" s="73"/>
      <c r="E383" s="125"/>
      <c r="F383" s="163"/>
      <c r="G383" s="127"/>
      <c r="H383" s="128"/>
      <c r="I383" s="78"/>
      <c r="J383" s="78"/>
      <c r="K383" s="252"/>
      <c r="L383" s="164"/>
      <c r="M383" s="177"/>
      <c r="N383" s="178"/>
      <c r="O383" s="179"/>
      <c r="P383" s="113"/>
      <c r="Q383" s="180"/>
      <c r="R383" s="275"/>
      <c r="S383" s="189"/>
      <c r="T383" s="182"/>
      <c r="U383" s="183"/>
      <c r="V383" s="184"/>
      <c r="W383" s="185"/>
      <c r="X383" s="185"/>
      <c r="Y383" s="276">
        <v>9181</v>
      </c>
      <c r="Z383" s="276" t="s">
        <v>1452</v>
      </c>
      <c r="AA383" s="276"/>
      <c r="AB383" s="237"/>
      <c r="AC383" s="20"/>
      <c r="AD383" s="132"/>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row>
    <row r="384" spans="1:92" s="564" customFormat="1" ht="12.75">
      <c r="A384" s="578"/>
      <c r="B384" s="632"/>
      <c r="C384" s="684" t="s">
        <v>1453</v>
      </c>
      <c r="D384" s="73"/>
      <c r="E384" s="125"/>
      <c r="F384" s="163"/>
      <c r="G384" s="127"/>
      <c r="H384" s="685"/>
      <c r="I384" s="78"/>
      <c r="J384" s="78"/>
      <c r="K384" s="252"/>
      <c r="L384" s="164"/>
      <c r="M384" s="177"/>
      <c r="N384" s="178"/>
      <c r="O384" s="179"/>
      <c r="P384" s="113"/>
      <c r="Q384" s="113"/>
      <c r="R384" s="193"/>
      <c r="S384" s="189"/>
      <c r="T384" s="279"/>
      <c r="U384" s="280"/>
      <c r="V384" s="281"/>
      <c r="W384" s="282"/>
      <c r="X384" s="282"/>
      <c r="Y384" s="656"/>
      <c r="Z384" s="656"/>
      <c r="AA384" s="557"/>
      <c r="AB384" s="668"/>
      <c r="AC384" s="559"/>
      <c r="AD384" s="621"/>
      <c r="AE384" s="622"/>
      <c r="AF384" s="622"/>
      <c r="AG384" s="622"/>
      <c r="AH384" s="586"/>
      <c r="AI384" s="586"/>
      <c r="AJ384" s="586"/>
      <c r="AK384" s="586"/>
      <c r="AL384" s="586"/>
      <c r="AM384" s="586"/>
      <c r="AN384" s="586"/>
      <c r="AO384" s="586"/>
      <c r="AP384" s="586"/>
      <c r="AQ384" s="586"/>
      <c r="AR384" s="586"/>
      <c r="AS384" s="586"/>
      <c r="AT384" s="586"/>
      <c r="AU384" s="586"/>
      <c r="AV384" s="586"/>
      <c r="AW384" s="586"/>
      <c r="AX384" s="586"/>
      <c r="AY384" s="586"/>
      <c r="AZ384" s="586"/>
      <c r="BA384" s="586"/>
      <c r="BB384" s="586"/>
      <c r="BC384" s="586"/>
      <c r="BD384" s="586"/>
      <c r="BE384" s="586"/>
      <c r="BF384" s="586"/>
      <c r="BG384" s="586"/>
      <c r="BH384" s="563"/>
      <c r="BI384" s="563"/>
      <c r="BJ384" s="563"/>
      <c r="BK384" s="563"/>
      <c r="BL384" s="563"/>
      <c r="BM384" s="563"/>
      <c r="BN384" s="563"/>
      <c r="BO384" s="563"/>
      <c r="BP384" s="563"/>
      <c r="BQ384" s="563"/>
      <c r="BR384" s="563"/>
      <c r="BS384" s="563"/>
      <c r="BT384" s="563"/>
      <c r="BU384" s="563"/>
      <c r="BV384" s="563"/>
      <c r="BW384" s="563"/>
      <c r="BX384" s="563"/>
      <c r="BY384" s="563"/>
      <c r="BZ384" s="563"/>
      <c r="CA384" s="563"/>
      <c r="CB384" s="563"/>
      <c r="CC384" s="563"/>
      <c r="CD384" s="563"/>
      <c r="CE384" s="563"/>
      <c r="CF384" s="563"/>
      <c r="CG384" s="563"/>
      <c r="CH384" s="563"/>
      <c r="CI384" s="563"/>
      <c r="CJ384" s="563"/>
      <c r="CK384" s="563"/>
      <c r="CL384" s="563"/>
      <c r="CM384" s="563"/>
      <c r="CN384" s="563"/>
    </row>
    <row r="385" spans="1:92" s="1" customFormat="1" ht="18.75">
      <c r="A385" s="599">
        <v>184</v>
      </c>
      <c r="B385" s="372" t="s">
        <v>1454</v>
      </c>
      <c r="C385" s="686" t="s">
        <v>1455</v>
      </c>
      <c r="D385" s="73" t="s">
        <v>1456</v>
      </c>
      <c r="E385" s="125">
        <v>0.065</v>
      </c>
      <c r="F385" s="163"/>
      <c r="G385" s="127" t="s">
        <v>1457</v>
      </c>
      <c r="H385" s="685" t="s">
        <v>1458</v>
      </c>
      <c r="I385" s="78" t="s">
        <v>1459</v>
      </c>
      <c r="J385" s="78" t="str">
        <f>P</f>
        <v>. . .</v>
      </c>
      <c r="K385" s="252">
        <v>0.065</v>
      </c>
      <c r="L385" s="164"/>
      <c r="M385" s="177" t="s">
        <v>1460</v>
      </c>
      <c r="N385" s="178"/>
      <c r="O385" s="602">
        <f>TGAP</f>
        <v>3.811</v>
      </c>
      <c r="P385" s="113" t="s">
        <v>1461</v>
      </c>
      <c r="Q385" s="113" t="str">
        <f>VI</f>
        <v>(25)</v>
      </c>
      <c r="R385" s="193" t="str">
        <f>VI</f>
        <v>(25)</v>
      </c>
      <c r="S385" s="189"/>
      <c r="T385" s="279">
        <v>5703</v>
      </c>
      <c r="U385" s="280" t="s">
        <v>1462</v>
      </c>
      <c r="V385" s="11"/>
      <c r="W385" s="282" t="str">
        <f>t</f>
        <v>TVO</v>
      </c>
      <c r="X385" s="282"/>
      <c r="Y385" s="276"/>
      <c r="Z385" s="276"/>
      <c r="AA385" s="276"/>
      <c r="AB385" s="237"/>
      <c r="AC385" s="20"/>
      <c r="AD385" s="206"/>
      <c r="AE385" s="160"/>
      <c r="AF385" s="160"/>
      <c r="AG385" s="160"/>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row>
    <row r="386" spans="1:92" s="1" customFormat="1" ht="12.75">
      <c r="A386" s="578">
        <v>185</v>
      </c>
      <c r="B386" s="89" t="s">
        <v>1463</v>
      </c>
      <c r="C386" s="684" t="s">
        <v>1464</v>
      </c>
      <c r="D386" s="73" t="s">
        <v>1465</v>
      </c>
      <c r="E386" s="125">
        <v>0.065</v>
      </c>
      <c r="F386" s="163"/>
      <c r="G386" s="127" t="s">
        <v>1466</v>
      </c>
      <c r="H386" s="685" t="s">
        <v>1467</v>
      </c>
      <c r="I386" s="78" t="s">
        <v>1468</v>
      </c>
      <c r="J386" s="78" t="str">
        <f>P</f>
        <v>. . .</v>
      </c>
      <c r="K386" s="252">
        <v>0.065</v>
      </c>
      <c r="L386" s="164"/>
      <c r="M386" s="177" t="s">
        <v>1469</v>
      </c>
      <c r="N386" s="178"/>
      <c r="O386" s="602" t="str">
        <f>P</f>
        <v>. . .</v>
      </c>
      <c r="P386" s="113" t="s">
        <v>1470</v>
      </c>
      <c r="Q386" s="113" t="str">
        <f>VI</f>
        <v>(25)</v>
      </c>
      <c r="R386" s="193" t="str">
        <f>VI</f>
        <v>(25)</v>
      </c>
      <c r="S386" s="189"/>
      <c r="T386" s="9"/>
      <c r="U386" s="10"/>
      <c r="V386" s="281"/>
      <c r="W386" s="282" t="str">
        <f>t</f>
        <v>TVO</v>
      </c>
      <c r="X386" s="282"/>
      <c r="Y386" s="35"/>
      <c r="Z386" s="35"/>
      <c r="AA386" s="276"/>
      <c r="AB386" s="237"/>
      <c r="AC386" s="20"/>
      <c r="AD386" s="206"/>
      <c r="AE386" s="160"/>
      <c r="AF386" s="160"/>
      <c r="AG386" s="160"/>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row>
    <row r="387" spans="1:92" s="1" customFormat="1" ht="24" customHeight="1">
      <c r="A387" s="578"/>
      <c r="B387" s="632"/>
      <c r="C387" s="684" t="s">
        <v>1471</v>
      </c>
      <c r="D387" s="73"/>
      <c r="E387" s="125"/>
      <c r="F387" s="163"/>
      <c r="G387" s="127"/>
      <c r="H387" s="128"/>
      <c r="I387" s="78"/>
      <c r="J387" s="78"/>
      <c r="K387" s="252"/>
      <c r="L387" s="164"/>
      <c r="M387" s="177"/>
      <c r="N387" s="178"/>
      <c r="O387" s="602"/>
      <c r="P387" s="113"/>
      <c r="Q387" s="180"/>
      <c r="R387" s="275"/>
      <c r="S387" s="283"/>
      <c r="T387" s="279"/>
      <c r="U387" s="280"/>
      <c r="V387" s="281"/>
      <c r="W387" s="282"/>
      <c r="X387" s="282"/>
      <c r="Y387" s="35">
        <v>9181</v>
      </c>
      <c r="Z387" s="18" t="s">
        <v>1472</v>
      </c>
      <c r="AA387" s="276"/>
      <c r="AB387" s="237"/>
      <c r="AC387" s="20"/>
      <c r="AD387" s="206"/>
      <c r="AE387" s="160"/>
      <c r="AF387" s="160"/>
      <c r="AG387" s="160"/>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row>
    <row r="388" spans="1:92" s="603" customFormat="1" ht="12.75">
      <c r="A388" s="578"/>
      <c r="B388" s="1"/>
      <c r="C388" s="687" t="s">
        <v>1473</v>
      </c>
      <c r="D388" s="73"/>
      <c r="E388" s="125"/>
      <c r="F388" s="163"/>
      <c r="G388" s="127"/>
      <c r="H388" s="685"/>
      <c r="I388" s="78"/>
      <c r="J388" s="78"/>
      <c r="K388" s="661"/>
      <c r="L388" s="164"/>
      <c r="M388" s="177"/>
      <c r="N388" s="178"/>
      <c r="O388" s="602"/>
      <c r="P388" s="113"/>
      <c r="Q388" s="180"/>
      <c r="R388" s="181"/>
      <c r="S388" s="189"/>
      <c r="T388" s="85"/>
      <c r="U388" s="86"/>
      <c r="V388" s="87"/>
      <c r="W388" s="88"/>
      <c r="X388" s="88"/>
      <c r="Y388" s="35"/>
      <c r="Z388" s="35"/>
      <c r="AA388" s="276"/>
      <c r="AB388" s="237"/>
      <c r="AC388" s="688"/>
      <c r="AD388" s="206"/>
      <c r="AE388" s="160"/>
      <c r="AF388" s="160"/>
      <c r="AG388" s="160"/>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689"/>
      <c r="BI388" s="689"/>
      <c r="BJ388" s="689"/>
      <c r="BK388" s="689"/>
      <c r="BL388" s="689"/>
      <c r="BM388" s="689"/>
      <c r="BN388" s="689"/>
      <c r="BO388" s="689"/>
      <c r="BP388" s="689"/>
      <c r="BQ388" s="689"/>
      <c r="BR388" s="689"/>
      <c r="BS388" s="689"/>
      <c r="BT388" s="689"/>
      <c r="BU388" s="689"/>
      <c r="BV388" s="689"/>
      <c r="BW388" s="689"/>
      <c r="BX388" s="689"/>
      <c r="BY388" s="689"/>
      <c r="BZ388" s="689"/>
      <c r="CA388" s="689"/>
      <c r="CB388" s="689"/>
      <c r="CC388" s="689"/>
      <c r="CD388" s="689"/>
      <c r="CE388" s="689"/>
      <c r="CF388" s="689"/>
      <c r="CG388" s="689"/>
      <c r="CH388" s="689"/>
      <c r="CI388" s="689"/>
      <c r="CJ388" s="689"/>
      <c r="CK388" s="689"/>
      <c r="CL388" s="689"/>
      <c r="CM388" s="689"/>
      <c r="CN388" s="689"/>
    </row>
    <row r="389" spans="1:92" s="1" customFormat="1" ht="18.75">
      <c r="A389" s="599">
        <v>186</v>
      </c>
      <c r="B389" s="372" t="s">
        <v>1474</v>
      </c>
      <c r="C389" s="686" t="s">
        <v>1475</v>
      </c>
      <c r="D389" s="73" t="s">
        <v>1476</v>
      </c>
      <c r="E389" s="125">
        <f>4.6%</f>
        <v>0</v>
      </c>
      <c r="F389" s="163"/>
      <c r="G389" s="127" t="s">
        <v>1477</v>
      </c>
      <c r="H389" s="685" t="s">
        <v>1478</v>
      </c>
      <c r="I389" s="78">
        <f>VFHL</f>
        <v>22.87</v>
      </c>
      <c r="J389" s="78" t="s">
        <v>1479</v>
      </c>
      <c r="K389" s="661">
        <f>ROUND(I389*4.6%,2)</f>
        <v>1.05</v>
      </c>
      <c r="L389" s="164"/>
      <c r="M389" s="177" t="s">
        <v>1480</v>
      </c>
      <c r="N389" s="178"/>
      <c r="O389" s="602">
        <f>TGAP</f>
        <v>3.811</v>
      </c>
      <c r="P389" s="113" t="s">
        <v>1481</v>
      </c>
      <c r="Q389" s="180">
        <f>TVATGAPLUBMETRO</f>
        <v>5.396076</v>
      </c>
      <c r="R389" s="181">
        <f>TVATGAPLUBCORSE</f>
        <v>3.57903</v>
      </c>
      <c r="S389" s="283"/>
      <c r="T389" s="85">
        <v>5703</v>
      </c>
      <c r="U389" s="280" t="s">
        <v>1482</v>
      </c>
      <c r="V389" s="11"/>
      <c r="W389" s="285">
        <v>5942</v>
      </c>
      <c r="X389" s="285"/>
      <c r="Y389" s="276"/>
      <c r="Z389" s="276"/>
      <c r="AA389" s="35"/>
      <c r="AB389" s="237"/>
      <c r="AC389" s="20"/>
      <c r="AD389" s="206"/>
      <c r="AE389" s="160"/>
      <c r="AF389" s="160"/>
      <c r="AG389" s="160"/>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row>
    <row r="390" spans="1:92" s="1" customFormat="1" ht="24" customHeight="1">
      <c r="A390" s="578">
        <v>187</v>
      </c>
      <c r="B390" s="690" t="s">
        <v>1483</v>
      </c>
      <c r="C390" s="684" t="s">
        <v>1484</v>
      </c>
      <c r="D390" s="73" t="s">
        <v>1485</v>
      </c>
      <c r="E390" s="125">
        <f>4.6%</f>
        <v>0</v>
      </c>
      <c r="F390" s="163"/>
      <c r="G390" s="127" t="s">
        <v>1486</v>
      </c>
      <c r="H390" s="685" t="s">
        <v>1487</v>
      </c>
      <c r="I390" s="78">
        <f>VFHL</f>
        <v>22.87</v>
      </c>
      <c r="J390" s="78" t="s">
        <v>1488</v>
      </c>
      <c r="K390" s="661">
        <f>ROUND(I390*4.6%,2)</f>
        <v>1.05</v>
      </c>
      <c r="L390" s="164"/>
      <c r="M390" s="319" t="s">
        <v>1489</v>
      </c>
      <c r="N390" s="320"/>
      <c r="O390" s="321" t="str">
        <f>P</f>
        <v>. . .</v>
      </c>
      <c r="P390" s="113" t="s">
        <v>1490</v>
      </c>
      <c r="Q390" s="538">
        <f>TVALUBMETRO</f>
        <v>4.649120000000001</v>
      </c>
      <c r="R390" s="625">
        <f>TVALUBCORSE</f>
        <v>3.0836000000000006</v>
      </c>
      <c r="S390" s="283"/>
      <c r="T390" s="596"/>
      <c r="U390" s="597"/>
      <c r="V390" s="87"/>
      <c r="W390" s="285">
        <v>5900</v>
      </c>
      <c r="X390" s="285"/>
      <c r="Y390" s="691">
        <v>9181</v>
      </c>
      <c r="Z390" s="691" t="s">
        <v>1491</v>
      </c>
      <c r="AA390" s="35"/>
      <c r="AB390" s="237"/>
      <c r="AC390" s="20"/>
      <c r="AD390" s="206"/>
      <c r="AE390" s="160"/>
      <c r="AF390" s="160"/>
      <c r="AG390" s="160"/>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row>
    <row r="391" spans="1:92" s="1" customFormat="1" ht="12.75">
      <c r="A391" s="578"/>
      <c r="B391" s="680"/>
      <c r="C391" s="687" t="s">
        <v>1492</v>
      </c>
      <c r="D391" s="73"/>
      <c r="E391" s="125"/>
      <c r="F391" s="163"/>
      <c r="G391" s="127"/>
      <c r="H391" s="685"/>
      <c r="I391" s="78"/>
      <c r="J391" s="78"/>
      <c r="K391" s="661"/>
      <c r="L391" s="164"/>
      <c r="M391" s="177"/>
      <c r="N391" s="178"/>
      <c r="O391" s="179"/>
      <c r="P391" s="113"/>
      <c r="Q391" s="180"/>
      <c r="R391" s="181"/>
      <c r="S391" s="283"/>
      <c r="T391" s="279"/>
      <c r="U391" s="280"/>
      <c r="V391" s="281"/>
      <c r="W391" s="282"/>
      <c r="X391" s="282"/>
      <c r="Y391" s="276"/>
      <c r="Z391" s="276"/>
      <c r="AA391" s="35"/>
      <c r="AB391" s="237"/>
      <c r="AC391" s="20"/>
      <c r="AD391" s="206"/>
      <c r="AE391" s="160"/>
      <c r="AF391" s="160"/>
      <c r="AG391" s="160"/>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row>
    <row r="392" spans="1:92" s="1" customFormat="1" ht="24" customHeight="1">
      <c r="A392" s="599">
        <v>188</v>
      </c>
      <c r="B392" s="372" t="s">
        <v>1493</v>
      </c>
      <c r="C392" s="686" t="s">
        <v>1494</v>
      </c>
      <c r="D392" s="73" t="s">
        <v>1495</v>
      </c>
      <c r="E392" s="125">
        <f>4.6%</f>
        <v>0</v>
      </c>
      <c r="F392" s="163"/>
      <c r="G392" s="127" t="s">
        <v>1496</v>
      </c>
      <c r="H392" s="685" t="s">
        <v>1497</v>
      </c>
      <c r="I392" s="78">
        <f>VFHL</f>
        <v>22.87</v>
      </c>
      <c r="J392" s="78" t="s">
        <v>1498</v>
      </c>
      <c r="K392" s="661">
        <f>ROUND(I392*4.6%,2)</f>
        <v>1.05</v>
      </c>
      <c r="L392" s="164"/>
      <c r="M392" s="177" t="s">
        <v>1499</v>
      </c>
      <c r="N392" s="178"/>
      <c r="O392" s="602">
        <f>TGAP</f>
        <v>3.811</v>
      </c>
      <c r="P392" s="113" t="s">
        <v>1500</v>
      </c>
      <c r="Q392" s="180">
        <f>TVATGAPLUBMETRO</f>
        <v>5.396076</v>
      </c>
      <c r="R392" s="181">
        <f>TVATGAPLUBCORSE</f>
        <v>3.57903</v>
      </c>
      <c r="S392" s="283"/>
      <c r="T392" s="85">
        <v>5703</v>
      </c>
      <c r="U392" s="280" t="s">
        <v>1501</v>
      </c>
      <c r="V392" s="11"/>
      <c r="W392" s="285">
        <v>5942</v>
      </c>
      <c r="X392" s="285"/>
      <c r="Y392" s="691"/>
      <c r="Z392" s="691"/>
      <c r="AA392" s="35"/>
      <c r="AB392" s="237"/>
      <c r="AC392" s="20"/>
      <c r="AD392" s="206"/>
      <c r="AE392" s="160"/>
      <c r="AF392" s="160"/>
      <c r="AG392" s="160"/>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row>
    <row r="393" spans="1:92" s="1" customFormat="1" ht="40.5" customHeight="1">
      <c r="A393" s="578"/>
      <c r="B393" s="632"/>
      <c r="C393" s="692" t="s">
        <v>1502</v>
      </c>
      <c r="D393" s="302"/>
      <c r="E393" s="303"/>
      <c r="F393" s="34"/>
      <c r="G393" s="304"/>
      <c r="H393" s="304"/>
      <c r="I393" s="305"/>
      <c r="J393" s="305"/>
      <c r="K393" s="306"/>
      <c r="L393" s="306"/>
      <c r="M393" s="307"/>
      <c r="N393" s="308"/>
      <c r="O393" s="309"/>
      <c r="P393" s="305"/>
      <c r="Q393" s="310"/>
      <c r="R393" s="311"/>
      <c r="S393" s="199"/>
      <c r="T393" s="182"/>
      <c r="U393" s="183"/>
      <c r="V393" s="184"/>
      <c r="W393" s="185"/>
      <c r="X393" s="185"/>
      <c r="Y393" s="170"/>
      <c r="Z393" s="170"/>
      <c r="AA393" s="276"/>
      <c r="AB393" s="237"/>
      <c r="AC393" s="20"/>
      <c r="AD393" s="206"/>
      <c r="AE393" s="160"/>
      <c r="AF393" s="160"/>
      <c r="AG393" s="160"/>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row>
    <row r="394" spans="1:92" s="1" customFormat="1" ht="12.75">
      <c r="A394" s="578"/>
      <c r="B394" s="632"/>
      <c r="C394" s="693"/>
      <c r="D394" s="73"/>
      <c r="E394" s="125"/>
      <c r="F394" s="163"/>
      <c r="G394" s="127" t="str">
        <f>P</f>
        <v>. . .</v>
      </c>
      <c r="H394" s="494" t="s">
        <v>1503</v>
      </c>
      <c r="I394" s="78"/>
      <c r="J394" s="78"/>
      <c r="K394" s="252"/>
      <c r="L394" s="164"/>
      <c r="M394" s="177"/>
      <c r="N394" s="178"/>
      <c r="O394" s="179"/>
      <c r="P394" s="113"/>
      <c r="Q394" s="180"/>
      <c r="R394" s="181"/>
      <c r="S394" s="283"/>
      <c r="T394" s="404"/>
      <c r="U394" s="405"/>
      <c r="V394" s="11"/>
      <c r="W394" s="12"/>
      <c r="X394" s="12"/>
      <c r="Y394" s="13"/>
      <c r="Z394" s="13"/>
      <c r="AA394" s="276"/>
      <c r="AB394" s="237"/>
      <c r="AC394" s="20"/>
      <c r="AD394" s="206"/>
      <c r="AE394" s="160"/>
      <c r="AF394" s="160"/>
      <c r="AG394" s="160"/>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row>
    <row r="395" spans="1:92" s="564" customFormat="1" ht="12.75">
      <c r="A395" s="614"/>
      <c r="B395" s="640"/>
      <c r="C395" s="694"/>
      <c r="D395" s="225"/>
      <c r="E395" s="226"/>
      <c r="F395" s="227"/>
      <c r="G395" s="228"/>
      <c r="H395" s="500"/>
      <c r="I395" s="230"/>
      <c r="J395" s="230"/>
      <c r="K395" s="677"/>
      <c r="L395" s="231"/>
      <c r="M395" s="547"/>
      <c r="N395" s="548"/>
      <c r="O395" s="549"/>
      <c r="P395" s="235"/>
      <c r="Q395" s="550"/>
      <c r="R395" s="551"/>
      <c r="S395" s="695"/>
      <c r="T395" s="643"/>
      <c r="U395" s="644"/>
      <c r="V395" s="555"/>
      <c r="W395" s="646"/>
      <c r="X395" s="646"/>
      <c r="Y395" s="696"/>
      <c r="Z395" s="696"/>
      <c r="AA395" s="557"/>
      <c r="AB395" s="668"/>
      <c r="AC395" s="559"/>
      <c r="AD395" s="697"/>
      <c r="AE395" s="698"/>
      <c r="AF395" s="698"/>
      <c r="AG395" s="698"/>
      <c r="AH395" s="586"/>
      <c r="AI395" s="586"/>
      <c r="AJ395" s="586"/>
      <c r="AK395" s="586"/>
      <c r="AL395" s="586"/>
      <c r="AM395" s="586"/>
      <c r="AN395" s="586"/>
      <c r="AO395" s="586"/>
      <c r="AP395" s="586"/>
      <c r="AQ395" s="586"/>
      <c r="AR395" s="586"/>
      <c r="AS395" s="586"/>
      <c r="AT395" s="586"/>
      <c r="AU395" s="586"/>
      <c r="AV395" s="586"/>
      <c r="AW395" s="586"/>
      <c r="AX395" s="586"/>
      <c r="AY395" s="586"/>
      <c r="AZ395" s="586"/>
      <c r="BA395" s="586"/>
      <c r="BB395" s="586"/>
      <c r="BC395" s="586"/>
      <c r="BD395" s="586"/>
      <c r="BE395" s="586"/>
      <c r="BF395" s="586"/>
      <c r="BG395" s="586"/>
      <c r="BH395" s="563"/>
      <c r="BI395" s="563"/>
      <c r="BJ395" s="563"/>
      <c r="BK395" s="563"/>
      <c r="BL395" s="563"/>
      <c r="BM395" s="563"/>
      <c r="BN395" s="563"/>
      <c r="BO395" s="563"/>
      <c r="BP395" s="563"/>
      <c r="BQ395" s="563"/>
      <c r="BR395" s="563"/>
      <c r="BS395" s="563"/>
      <c r="BT395" s="563"/>
      <c r="BU395" s="563"/>
      <c r="BV395" s="563"/>
      <c r="BW395" s="563"/>
      <c r="BX395" s="563"/>
      <c r="BY395" s="563"/>
      <c r="BZ395" s="563"/>
      <c r="CA395" s="563"/>
      <c r="CB395" s="563"/>
      <c r="CC395" s="563"/>
      <c r="CD395" s="563"/>
      <c r="CE395" s="563"/>
      <c r="CF395" s="563"/>
      <c r="CG395" s="563"/>
      <c r="CH395" s="563"/>
      <c r="CI395" s="563"/>
      <c r="CJ395" s="563"/>
      <c r="CK395" s="563"/>
      <c r="CL395" s="563"/>
      <c r="CM395" s="563"/>
      <c r="CN395" s="563"/>
    </row>
    <row r="396" spans="1:92" s="1" customFormat="1" ht="12.75">
      <c r="A396" s="578"/>
      <c r="B396" s="699"/>
      <c r="C396" s="700" t="s">
        <v>1504</v>
      </c>
      <c r="D396" s="73"/>
      <c r="E396" s="125"/>
      <c r="F396" s="163"/>
      <c r="G396" s="127"/>
      <c r="H396" s="494"/>
      <c r="I396" s="78"/>
      <c r="J396" s="78"/>
      <c r="K396" s="252"/>
      <c r="L396" s="164"/>
      <c r="M396" s="177"/>
      <c r="N396" s="178"/>
      <c r="O396" s="701"/>
      <c r="P396" s="113"/>
      <c r="Q396" s="180"/>
      <c r="R396" s="181"/>
      <c r="S396" s="283"/>
      <c r="T396" s="182"/>
      <c r="U396" s="183"/>
      <c r="V396" s="184"/>
      <c r="W396" s="185"/>
      <c r="X396" s="185"/>
      <c r="Y396" s="170"/>
      <c r="Z396" s="170"/>
      <c r="AA396" s="170"/>
      <c r="AB396" s="237"/>
      <c r="AC396" s="20"/>
      <c r="AD396" s="206"/>
      <c r="AE396" s="160"/>
      <c r="AF396" s="160"/>
      <c r="AG396" s="160"/>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row>
    <row r="397" spans="1:92" s="1" customFormat="1" ht="12.75">
      <c r="A397" s="578"/>
      <c r="B397" s="699"/>
      <c r="C397" s="637" t="s">
        <v>1505</v>
      </c>
      <c r="D397" s="73"/>
      <c r="E397" s="125"/>
      <c r="F397" s="163"/>
      <c r="G397" s="127"/>
      <c r="H397" s="494"/>
      <c r="I397" s="78"/>
      <c r="J397" s="78"/>
      <c r="K397" s="252"/>
      <c r="L397" s="164"/>
      <c r="M397" s="177"/>
      <c r="N397" s="178"/>
      <c r="O397" s="701"/>
      <c r="P397" s="113"/>
      <c r="Q397" s="180"/>
      <c r="R397" s="181"/>
      <c r="S397" s="189"/>
      <c r="T397" s="182"/>
      <c r="U397" s="183"/>
      <c r="V397" s="184"/>
      <c r="W397" s="185"/>
      <c r="X397" s="185"/>
      <c r="Y397" s="170"/>
      <c r="Z397" s="170"/>
      <c r="AA397" s="13"/>
      <c r="AB397" s="237"/>
      <c r="AC397" s="20"/>
      <c r="AD397" s="206"/>
      <c r="AE397" s="160"/>
      <c r="AF397" s="160"/>
      <c r="AG397" s="160"/>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row>
    <row r="398" spans="1:92" s="1" customFormat="1" ht="12.75">
      <c r="A398" s="578">
        <v>190</v>
      </c>
      <c r="B398" s="632" t="s">
        <v>1506</v>
      </c>
      <c r="C398" s="660" t="s">
        <v>1507</v>
      </c>
      <c r="D398" s="73" t="str">
        <f>P</f>
        <v>. . .</v>
      </c>
      <c r="E398" s="125">
        <v>0.065</v>
      </c>
      <c r="F398" s="163"/>
      <c r="G398" s="127" t="str">
        <f>P</f>
        <v>. . .</v>
      </c>
      <c r="H398" s="494" t="s">
        <v>1508</v>
      </c>
      <c r="I398" s="78" t="s">
        <v>1509</v>
      </c>
      <c r="J398" s="78" t="s">
        <v>1510</v>
      </c>
      <c r="K398" s="252">
        <v>0.065</v>
      </c>
      <c r="L398" s="164"/>
      <c r="M398" s="177" t="str">
        <f>"(9)"</f>
        <v>(9)</v>
      </c>
      <c r="N398" s="178"/>
      <c r="O398" s="701" t="str">
        <f>P</f>
        <v>. . .</v>
      </c>
      <c r="P398" s="113" t="s">
        <v>1511</v>
      </c>
      <c r="Q398" s="113" t="str">
        <f>VI</f>
        <v>(25)</v>
      </c>
      <c r="R398" s="113" t="str">
        <f>VI</f>
        <v>(25)</v>
      </c>
      <c r="S398" s="189"/>
      <c r="T398" s="9"/>
      <c r="U398" s="10"/>
      <c r="V398" s="11"/>
      <c r="W398" s="185" t="str">
        <f>t</f>
        <v>TVO</v>
      </c>
      <c r="X398" s="185"/>
      <c r="Y398" s="170">
        <v>4004</v>
      </c>
      <c r="Z398" s="170">
        <v>9348</v>
      </c>
      <c r="AA398" s="13"/>
      <c r="AB398" s="237"/>
      <c r="AC398" s="20"/>
      <c r="AD398" s="206"/>
      <c r="AE398" s="160"/>
      <c r="AF398" s="160"/>
      <c r="AG398" s="160"/>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row>
    <row r="399" spans="1:92" s="1" customFormat="1" ht="12.75">
      <c r="A399" s="578">
        <v>191</v>
      </c>
      <c r="B399" s="632" t="s">
        <v>1512</v>
      </c>
      <c r="C399" s="660" t="s">
        <v>1513</v>
      </c>
      <c r="D399" s="73" t="str">
        <f>P</f>
        <v>. . .</v>
      </c>
      <c r="E399" s="125">
        <v>0.058</v>
      </c>
      <c r="F399" s="163"/>
      <c r="G399" s="127" t="str">
        <f>P</f>
        <v>. . .</v>
      </c>
      <c r="H399" s="494" t="s">
        <v>1514</v>
      </c>
      <c r="I399" s="78" t="s">
        <v>1515</v>
      </c>
      <c r="J399" s="78" t="s">
        <v>1516</v>
      </c>
      <c r="K399" s="252">
        <v>0.058</v>
      </c>
      <c r="L399" s="164"/>
      <c r="M399" s="177" t="str">
        <f>"(9)"</f>
        <v>(9)</v>
      </c>
      <c r="N399" s="178"/>
      <c r="O399" s="701" t="str">
        <f>P</f>
        <v>. . .</v>
      </c>
      <c r="P399" s="113" t="s">
        <v>1517</v>
      </c>
      <c r="Q399" s="113" t="str">
        <f>VI</f>
        <v>(25)</v>
      </c>
      <c r="R399" s="113" t="str">
        <f>VI</f>
        <v>(25)</v>
      </c>
      <c r="S399" s="388"/>
      <c r="T399" s="9"/>
      <c r="U399" s="10"/>
      <c r="V399" s="11"/>
      <c r="W399" s="185" t="str">
        <f>t</f>
        <v>TVO</v>
      </c>
      <c r="X399" s="185"/>
      <c r="Y399" s="170">
        <v>4004</v>
      </c>
      <c r="Z399" s="170">
        <v>9348</v>
      </c>
      <c r="AA399" s="170"/>
      <c r="AB399" s="237"/>
      <c r="AC399" s="20"/>
      <c r="AD399" s="206"/>
      <c r="AE399" s="160"/>
      <c r="AF399" s="160"/>
      <c r="AG399" s="160"/>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row>
    <row r="400" spans="1:92" s="1" customFormat="1" ht="12.75">
      <c r="A400" s="578">
        <v>192</v>
      </c>
      <c r="B400" s="632" t="s">
        <v>1518</v>
      </c>
      <c r="C400" s="637" t="s">
        <v>1519</v>
      </c>
      <c r="D400" s="73" t="str">
        <f>P</f>
        <v>. . .</v>
      </c>
      <c r="E400" s="125">
        <v>0.058</v>
      </c>
      <c r="F400" s="163"/>
      <c r="G400" s="127" t="str">
        <f>P</f>
        <v>. . .</v>
      </c>
      <c r="H400" s="494" t="s">
        <v>1520</v>
      </c>
      <c r="I400" s="78" t="s">
        <v>1521</v>
      </c>
      <c r="J400" s="78" t="s">
        <v>1522</v>
      </c>
      <c r="K400" s="252">
        <v>0.058</v>
      </c>
      <c r="L400" s="164"/>
      <c r="M400" s="177" t="str">
        <f>"(9)"</f>
        <v>(9)</v>
      </c>
      <c r="N400" s="178"/>
      <c r="O400" s="701" t="str">
        <f>P</f>
        <v>. . .</v>
      </c>
      <c r="P400" s="113" t="s">
        <v>1523</v>
      </c>
      <c r="Q400" s="113" t="str">
        <f>VI</f>
        <v>(25)</v>
      </c>
      <c r="R400" s="113" t="str">
        <f>VI</f>
        <v>(25)</v>
      </c>
      <c r="S400" s="388"/>
      <c r="T400" s="9"/>
      <c r="U400" s="10"/>
      <c r="V400" s="11"/>
      <c r="W400" s="185" t="str">
        <f>t</f>
        <v>TVO</v>
      </c>
      <c r="X400" s="185"/>
      <c r="Y400" s="170">
        <v>4004</v>
      </c>
      <c r="Z400" s="170">
        <v>9348</v>
      </c>
      <c r="AA400" s="170"/>
      <c r="AB400" s="237"/>
      <c r="AC400" s="20"/>
      <c r="AD400" s="206"/>
      <c r="AE400" s="160"/>
      <c r="AF400" s="160"/>
      <c r="AG400" s="160"/>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row>
    <row r="401" spans="1:92" s="1" customFormat="1" ht="12.75">
      <c r="A401" s="578"/>
      <c r="B401" s="634"/>
      <c r="C401" s="655" t="s">
        <v>1524</v>
      </c>
      <c r="D401" s="263"/>
      <c r="E401" s="264"/>
      <c r="F401" s="265"/>
      <c r="G401" s="266"/>
      <c r="H401" s="267"/>
      <c r="I401" s="268"/>
      <c r="J401" s="268"/>
      <c r="K401" s="269"/>
      <c r="L401" s="269"/>
      <c r="M401" s="270"/>
      <c r="N401" s="271"/>
      <c r="O401" s="702"/>
      <c r="P401" s="294"/>
      <c r="Q401" s="274"/>
      <c r="R401" s="169"/>
      <c r="S401" s="189"/>
      <c r="T401" s="85"/>
      <c r="U401" s="86"/>
      <c r="V401" s="87"/>
      <c r="W401" s="88"/>
      <c r="X401" s="88"/>
      <c r="Y401" s="35"/>
      <c r="Z401" s="35"/>
      <c r="AA401" s="170"/>
      <c r="AB401" s="237"/>
      <c r="AC401" s="20"/>
      <c r="AD401" s="206"/>
      <c r="AE401" s="160"/>
      <c r="AF401" s="160"/>
      <c r="AG401" s="160"/>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row>
    <row r="402" spans="1:92" s="1" customFormat="1" ht="12.75">
      <c r="A402" s="578"/>
      <c r="B402" s="632"/>
      <c r="C402" s="637" t="s">
        <v>1525</v>
      </c>
      <c r="D402" s="73"/>
      <c r="E402" s="125"/>
      <c r="F402" s="163"/>
      <c r="G402" s="127"/>
      <c r="H402" s="128"/>
      <c r="I402" s="78"/>
      <c r="J402" s="78"/>
      <c r="K402" s="164"/>
      <c r="L402" s="164"/>
      <c r="M402" s="177"/>
      <c r="N402" s="178"/>
      <c r="O402" s="701"/>
      <c r="P402" s="113"/>
      <c r="Q402" s="180"/>
      <c r="R402" s="181"/>
      <c r="S402" s="189"/>
      <c r="T402" s="182"/>
      <c r="U402" s="183"/>
      <c r="V402" s="184"/>
      <c r="W402" s="185"/>
      <c r="X402" s="185"/>
      <c r="Y402" s="170"/>
      <c r="Z402" s="170"/>
      <c r="AA402" s="170"/>
      <c r="AB402" s="237"/>
      <c r="AC402" s="20"/>
      <c r="AD402" s="206"/>
      <c r="AE402" s="160"/>
      <c r="AF402" s="160"/>
      <c r="AG402" s="160"/>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row>
    <row r="403" spans="1:92" s="1" customFormat="1" ht="12.75">
      <c r="A403" s="578"/>
      <c r="B403" s="632"/>
      <c r="C403" s="660" t="s">
        <v>1526</v>
      </c>
      <c r="D403" s="73"/>
      <c r="E403" s="125"/>
      <c r="F403" s="163"/>
      <c r="G403" s="127"/>
      <c r="H403" s="128"/>
      <c r="I403" s="78"/>
      <c r="J403" s="78"/>
      <c r="K403" s="164"/>
      <c r="L403" s="164"/>
      <c r="M403" s="177"/>
      <c r="N403" s="178"/>
      <c r="O403" s="701"/>
      <c r="P403" s="113"/>
      <c r="Q403" s="180"/>
      <c r="R403" s="181"/>
      <c r="S403" s="189"/>
      <c r="T403" s="58"/>
      <c r="U403" s="59"/>
      <c r="V403" s="60"/>
      <c r="W403" s="61"/>
      <c r="X403" s="61"/>
      <c r="Y403" s="18"/>
      <c r="Z403" s="18"/>
      <c r="AA403" s="35"/>
      <c r="AB403" s="237"/>
      <c r="AC403" s="20"/>
      <c r="AD403" s="206"/>
      <c r="AE403" s="160"/>
      <c r="AF403" s="160"/>
      <c r="AG403" s="160"/>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row>
    <row r="404" spans="1:92" s="1" customFormat="1" ht="12.75">
      <c r="A404" s="578"/>
      <c r="B404" s="632"/>
      <c r="C404" s="660" t="s">
        <v>1527</v>
      </c>
      <c r="D404" s="73"/>
      <c r="E404" s="125"/>
      <c r="F404" s="163"/>
      <c r="G404" s="127"/>
      <c r="H404" s="128"/>
      <c r="I404" s="78"/>
      <c r="J404" s="78"/>
      <c r="K404" s="250"/>
      <c r="L404" s="164"/>
      <c r="M404" s="177"/>
      <c r="N404" s="178"/>
      <c r="O404" s="701"/>
      <c r="P404" s="113"/>
      <c r="Q404" s="180"/>
      <c r="R404" s="221"/>
      <c r="S404" s="189"/>
      <c r="T404" s="182"/>
      <c r="U404" s="183"/>
      <c r="V404" s="184"/>
      <c r="W404" s="185"/>
      <c r="X404" s="185"/>
      <c r="Y404" s="170"/>
      <c r="Z404" s="170"/>
      <c r="AA404" s="35"/>
      <c r="AB404" s="237"/>
      <c r="AC404" s="20"/>
      <c r="AD404" s="206"/>
      <c r="AE404" s="160"/>
      <c r="AF404" s="160"/>
      <c r="AG404" s="160"/>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row>
    <row r="405" spans="1:92" s="1" customFormat="1" ht="24" customHeight="1">
      <c r="A405" s="599">
        <v>193</v>
      </c>
      <c r="B405" s="372" t="s">
        <v>1528</v>
      </c>
      <c r="C405" s="686" t="s">
        <v>1529</v>
      </c>
      <c r="D405" s="73" t="str">
        <f>P</f>
        <v>. . .</v>
      </c>
      <c r="E405" s="125">
        <f>5.3%</f>
        <v>0</v>
      </c>
      <c r="F405" s="163"/>
      <c r="G405" s="127" t="str">
        <f>P</f>
        <v>. . .</v>
      </c>
      <c r="H405" s="128" t="str">
        <f>P</f>
        <v>. . .</v>
      </c>
      <c r="I405" s="78">
        <f>VFADDITIF</f>
        <v>106.71000000000001</v>
      </c>
      <c r="J405" s="78" t="s">
        <v>1530</v>
      </c>
      <c r="K405" s="250">
        <f>ROUND(I405*5.3%,2)</f>
        <v>5.66</v>
      </c>
      <c r="L405" s="164"/>
      <c r="M405" s="177" t="s">
        <v>1531</v>
      </c>
      <c r="N405" s="178"/>
      <c r="O405" s="703">
        <f>TGAP</f>
        <v>3.811</v>
      </c>
      <c r="P405" s="113" t="s">
        <v>1532</v>
      </c>
      <c r="Q405" s="180">
        <f>SUM(I405:P405)*19.6%</f>
        <v>22.771476000000003</v>
      </c>
      <c r="R405" s="221">
        <f>SUM(I405:P405)*13%</f>
        <v>15.103530000000003</v>
      </c>
      <c r="S405" s="199"/>
      <c r="T405" s="182">
        <v>5703</v>
      </c>
      <c r="U405" s="183"/>
      <c r="V405" s="11"/>
      <c r="W405" s="190">
        <v>5964</v>
      </c>
      <c r="X405" s="190"/>
      <c r="Y405" s="170">
        <v>9181</v>
      </c>
      <c r="Z405" s="18" t="s">
        <v>1533</v>
      </c>
      <c r="AA405" s="170"/>
      <c r="AB405" s="237"/>
      <c r="AC405" s="20"/>
      <c r="AD405" s="206"/>
      <c r="AE405" s="206"/>
      <c r="AF405" s="206"/>
      <c r="AG405" s="206"/>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row>
    <row r="406" spans="1:92" s="1" customFormat="1" ht="12.75">
      <c r="A406" s="578">
        <v>194</v>
      </c>
      <c r="B406" s="89" t="s">
        <v>1534</v>
      </c>
      <c r="C406" s="684" t="s">
        <v>1535</v>
      </c>
      <c r="D406" s="73" t="str">
        <f>P</f>
        <v>. . .</v>
      </c>
      <c r="E406" s="125">
        <f>5.3%</f>
        <v>0</v>
      </c>
      <c r="F406" s="163"/>
      <c r="G406" s="127" t="str">
        <f>P</f>
        <v>. . .</v>
      </c>
      <c r="H406" s="128" t="str">
        <f>P</f>
        <v>. . .</v>
      </c>
      <c r="I406" s="78">
        <f>VFADDITIF</f>
        <v>106.71000000000001</v>
      </c>
      <c r="J406" s="78" t="s">
        <v>1536</v>
      </c>
      <c r="K406" s="250">
        <f>ROUND(I406*5.3%,2)</f>
        <v>5.66</v>
      </c>
      <c r="L406" s="164"/>
      <c r="M406" s="177" t="s">
        <v>1537</v>
      </c>
      <c r="N406" s="178"/>
      <c r="O406" s="703" t="str">
        <f>P</f>
        <v>. . .</v>
      </c>
      <c r="P406" s="113" t="s">
        <v>1538</v>
      </c>
      <c r="Q406" s="180">
        <f>SUM(I406:P406)*19.6%</f>
        <v>22.024520000000003</v>
      </c>
      <c r="R406" s="221">
        <f>SUM(I406:P406)*13%</f>
        <v>14.6081</v>
      </c>
      <c r="S406" s="199"/>
      <c r="T406" s="9"/>
      <c r="U406" s="10"/>
      <c r="V406" s="184"/>
      <c r="W406" s="190">
        <v>5920</v>
      </c>
      <c r="X406" s="190"/>
      <c r="Y406" s="170"/>
      <c r="Z406" s="170"/>
      <c r="AA406" s="18"/>
      <c r="AB406" s="237"/>
      <c r="AC406" s="20"/>
      <c r="AD406" s="206"/>
      <c r="AE406" s="206"/>
      <c r="AF406" s="206"/>
      <c r="AG406" s="206"/>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row>
    <row r="407" spans="1:92" s="1" customFormat="1" ht="12.75">
      <c r="A407" s="578"/>
      <c r="B407" s="632"/>
      <c r="C407" s="660" t="s">
        <v>1539</v>
      </c>
      <c r="D407" s="73"/>
      <c r="E407" s="125"/>
      <c r="F407" s="163"/>
      <c r="G407" s="493"/>
      <c r="H407" s="128"/>
      <c r="I407" s="78"/>
      <c r="J407" s="78"/>
      <c r="K407" s="250"/>
      <c r="L407" s="164"/>
      <c r="M407" s="177"/>
      <c r="N407" s="178"/>
      <c r="O407" s="703"/>
      <c r="P407" s="113"/>
      <c r="Q407" s="180"/>
      <c r="R407" s="221"/>
      <c r="S407" s="189"/>
      <c r="T407" s="182"/>
      <c r="U407" s="183"/>
      <c r="V407" s="184"/>
      <c r="W407" s="185"/>
      <c r="X407" s="185"/>
      <c r="Y407" s="170"/>
      <c r="Z407" s="170"/>
      <c r="AA407" s="170"/>
      <c r="AB407" s="14"/>
      <c r="AC407" s="20"/>
      <c r="AD407" s="206"/>
      <c r="AE407" s="206"/>
      <c r="AF407" s="206"/>
      <c r="AG407" s="206"/>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row>
    <row r="408" spans="1:92" s="1" customFormat="1" ht="24" customHeight="1">
      <c r="A408" s="599">
        <v>195</v>
      </c>
      <c r="B408" s="372" t="s">
        <v>1540</v>
      </c>
      <c r="C408" s="686" t="s">
        <v>1541</v>
      </c>
      <c r="D408" s="73" t="str">
        <f>P</f>
        <v>. . .</v>
      </c>
      <c r="E408" s="125">
        <f>5.3%</f>
        <v>0</v>
      </c>
      <c r="F408" s="163"/>
      <c r="G408" s="127" t="str">
        <f>P</f>
        <v>. . .</v>
      </c>
      <c r="H408" s="128" t="str">
        <f>P</f>
        <v>. . .</v>
      </c>
      <c r="I408" s="78">
        <f>VFADDITIF</f>
        <v>106.71000000000001</v>
      </c>
      <c r="J408" s="78" t="s">
        <v>1542</v>
      </c>
      <c r="K408" s="250">
        <f>ROUND(I408*5.3%,2)</f>
        <v>5.66</v>
      </c>
      <c r="L408" s="164"/>
      <c r="M408" s="177" t="s">
        <v>1543</v>
      </c>
      <c r="N408" s="178"/>
      <c r="O408" s="703">
        <f>TGAP</f>
        <v>3.811</v>
      </c>
      <c r="P408" s="113" t="s">
        <v>1544</v>
      </c>
      <c r="Q408" s="180">
        <f>ADDLUBTGAPMETRO</f>
        <v>22.771476000000003</v>
      </c>
      <c r="R408" s="221">
        <f>ADDLUBTGAPCORSE</f>
        <v>15.103530000000003</v>
      </c>
      <c r="S408" s="57"/>
      <c r="T408" s="182">
        <v>5703</v>
      </c>
      <c r="U408" s="183"/>
      <c r="V408" s="11"/>
      <c r="W408" s="190">
        <v>5964</v>
      </c>
      <c r="X408" s="190"/>
      <c r="Y408" s="170">
        <v>9181</v>
      </c>
      <c r="Z408" s="18" t="s">
        <v>1545</v>
      </c>
      <c r="AA408" s="170"/>
      <c r="AB408" s="14"/>
      <c r="AC408" s="20"/>
      <c r="AD408" s="206"/>
      <c r="AE408" s="206"/>
      <c r="AF408" s="704"/>
      <c r="AG408" s="70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row>
    <row r="409" spans="1:92" s="1" customFormat="1" ht="12.75">
      <c r="A409" s="578">
        <v>196</v>
      </c>
      <c r="B409" s="89" t="s">
        <v>1546</v>
      </c>
      <c r="C409" s="684" t="s">
        <v>1547</v>
      </c>
      <c r="D409" s="73" t="str">
        <f>P</f>
        <v>. . .</v>
      </c>
      <c r="E409" s="125">
        <f>5.3%</f>
        <v>0</v>
      </c>
      <c r="F409" s="163"/>
      <c r="G409" s="127" t="str">
        <f>P</f>
        <v>. . .</v>
      </c>
      <c r="H409" s="128" t="str">
        <f>P</f>
        <v>. . .</v>
      </c>
      <c r="I409" s="78">
        <f>VFADDITIF</f>
        <v>106.71000000000001</v>
      </c>
      <c r="J409" s="78" t="s">
        <v>1548</v>
      </c>
      <c r="K409" s="250">
        <f>ROUND(I409*5.3%,2)</f>
        <v>5.66</v>
      </c>
      <c r="L409" s="164"/>
      <c r="M409" s="177" t="s">
        <v>1549</v>
      </c>
      <c r="N409" s="178"/>
      <c r="O409" s="701" t="str">
        <f>P</f>
        <v>. . .</v>
      </c>
      <c r="P409" s="113" t="s">
        <v>1550</v>
      </c>
      <c r="Q409" s="180">
        <f>ADDLUBMETRO</f>
        <v>22.024520000000003</v>
      </c>
      <c r="R409" s="221">
        <f>ADDLUBCORSE</f>
        <v>14.6081</v>
      </c>
      <c r="S409" s="189"/>
      <c r="T409" s="9"/>
      <c r="U409" s="10"/>
      <c r="V409" s="184"/>
      <c r="W409" s="190">
        <v>5920</v>
      </c>
      <c r="X409" s="190"/>
      <c r="Y409" s="170"/>
      <c r="Z409" s="170"/>
      <c r="AA409" s="170"/>
      <c r="AB409" s="237"/>
      <c r="AC409" s="20"/>
      <c r="AD409" s="206"/>
      <c r="AE409" s="160"/>
      <c r="AF409" s="704"/>
      <c r="AG409" s="70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row>
    <row r="410" spans="1:92" s="1" customFormat="1" ht="12.75">
      <c r="A410" s="578"/>
      <c r="B410" s="632"/>
      <c r="C410" s="660" t="s">
        <v>1551</v>
      </c>
      <c r="D410" s="73"/>
      <c r="E410" s="125"/>
      <c r="F410" s="163"/>
      <c r="G410" s="493"/>
      <c r="H410" s="128"/>
      <c r="I410" s="78"/>
      <c r="J410" s="78"/>
      <c r="K410" s="252"/>
      <c r="L410" s="164"/>
      <c r="M410" s="177"/>
      <c r="N410" s="178"/>
      <c r="O410" s="701"/>
      <c r="P410" s="113"/>
      <c r="Q410" s="180"/>
      <c r="R410" s="181"/>
      <c r="S410" s="189"/>
      <c r="T410" s="182"/>
      <c r="U410" s="183"/>
      <c r="V410" s="184"/>
      <c r="W410" s="185"/>
      <c r="X410" s="185"/>
      <c r="Y410" s="170"/>
      <c r="Z410" s="170"/>
      <c r="AA410" s="170"/>
      <c r="AB410" s="237"/>
      <c r="AC410" s="20"/>
      <c r="AD410" s="206"/>
      <c r="AE410" s="160"/>
      <c r="AF410" s="704"/>
      <c r="AG410" s="70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row>
    <row r="411" spans="1:92" s="1" customFormat="1" ht="12.75">
      <c r="A411" s="578">
        <v>197</v>
      </c>
      <c r="B411" s="632" t="s">
        <v>1552</v>
      </c>
      <c r="C411" s="637" t="s">
        <v>1553</v>
      </c>
      <c r="D411" s="73"/>
      <c r="E411" s="125"/>
      <c r="F411" s="163"/>
      <c r="G411" s="493"/>
      <c r="H411" s="128"/>
      <c r="I411" s="78"/>
      <c r="J411" s="78"/>
      <c r="K411" s="252"/>
      <c r="L411" s="164"/>
      <c r="M411" s="177"/>
      <c r="N411" s="178"/>
      <c r="O411" s="701"/>
      <c r="P411" s="113"/>
      <c r="Q411" s="180"/>
      <c r="R411" s="181"/>
      <c r="S411" s="189"/>
      <c r="T411" s="182"/>
      <c r="U411" s="183"/>
      <c r="V411" s="184"/>
      <c r="W411" s="185"/>
      <c r="X411" s="185"/>
      <c r="Y411" s="170"/>
      <c r="Z411" s="170"/>
      <c r="AA411" s="170"/>
      <c r="AB411" s="237"/>
      <c r="AC411" s="20"/>
      <c r="AD411" s="206"/>
      <c r="AE411" s="160"/>
      <c r="AF411" s="704"/>
      <c r="AG411" s="70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row>
    <row r="412" spans="1:92" s="1" customFormat="1" ht="12.75">
      <c r="A412" s="578"/>
      <c r="B412" s="89"/>
      <c r="C412" s="105" t="s">
        <v>1554</v>
      </c>
      <c r="D412" s="78" t="s">
        <v>1555</v>
      </c>
      <c r="E412" s="125">
        <f>TEC381190</f>
        <v>0</v>
      </c>
      <c r="F412" s="163"/>
      <c r="G412" s="493" t="s">
        <v>1556</v>
      </c>
      <c r="H412" s="128" t="s">
        <v>1557</v>
      </c>
      <c r="I412" s="78" t="s">
        <v>1558</v>
      </c>
      <c r="J412" s="78" t="s">
        <v>1559</v>
      </c>
      <c r="K412" s="252">
        <f>TEC381190</f>
        <v>0</v>
      </c>
      <c r="L412" s="164"/>
      <c r="M412" s="177" t="s">
        <v>1560</v>
      </c>
      <c r="N412" s="178"/>
      <c r="O412" s="701" t="str">
        <f>P</f>
        <v>. . .</v>
      </c>
      <c r="P412" s="113" t="s">
        <v>1561</v>
      </c>
      <c r="Q412" s="113" t="str">
        <f>VI</f>
        <v>(25)</v>
      </c>
      <c r="R412" s="193" t="str">
        <f>VI</f>
        <v>(25)</v>
      </c>
      <c r="S412" s="189"/>
      <c r="T412" s="9"/>
      <c r="U412" s="10"/>
      <c r="V412" s="184"/>
      <c r="W412" s="185" t="str">
        <f>t</f>
        <v>TVO</v>
      </c>
      <c r="X412" s="185"/>
      <c r="Y412" s="170"/>
      <c r="Z412" s="170"/>
      <c r="AA412" s="170"/>
      <c r="AB412" s="237"/>
      <c r="AC412" s="20"/>
      <c r="AD412" s="206"/>
      <c r="AE412" s="160"/>
      <c r="AF412" s="704"/>
      <c r="AG412" s="70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row>
    <row r="413" spans="1:92" s="710" customFormat="1" ht="12.75">
      <c r="A413" s="614">
        <v>198</v>
      </c>
      <c r="B413" s="546" t="s">
        <v>1562</v>
      </c>
      <c r="C413" s="705" t="s">
        <v>1563</v>
      </c>
      <c r="D413" s="230" t="s">
        <v>1564</v>
      </c>
      <c r="E413" s="226">
        <f>TEC381190</f>
        <v>0</v>
      </c>
      <c r="F413" s="227"/>
      <c r="G413" s="706"/>
      <c r="H413" s="287"/>
      <c r="I413" s="230" t="s">
        <v>1565</v>
      </c>
      <c r="J413" s="230" t="s">
        <v>1566</v>
      </c>
      <c r="K413" s="707">
        <f>TEC381190</f>
        <v>0</v>
      </c>
      <c r="L413" s="227"/>
      <c r="M413" s="547">
        <f>TIFBTS</f>
        <v>1.85</v>
      </c>
      <c r="N413" s="548"/>
      <c r="O413" s="708" t="str">
        <f>P</f>
        <v>. . .</v>
      </c>
      <c r="P413" s="235" t="s">
        <v>1567</v>
      </c>
      <c r="Q413" s="235" t="str">
        <f>VI</f>
        <v>(25)</v>
      </c>
      <c r="R413" s="236" t="str">
        <f>VI</f>
        <v>(25)</v>
      </c>
      <c r="S413" s="617"/>
      <c r="T413" s="643">
        <v>5713</v>
      </c>
      <c r="U413" s="644"/>
      <c r="V413" s="555"/>
      <c r="W413" s="667" t="str">
        <f>t</f>
        <v>TVO</v>
      </c>
      <c r="X413" s="667"/>
      <c r="Y413" s="557"/>
      <c r="Z413" s="557"/>
      <c r="AA413" s="557"/>
      <c r="AB413" s="668"/>
      <c r="AC413" s="559"/>
      <c r="AD413" s="697"/>
      <c r="AE413" s="698"/>
      <c r="AF413" s="709"/>
      <c r="AG413" s="709"/>
      <c r="AH413" s="586"/>
      <c r="AI413" s="586"/>
      <c r="AJ413" s="586"/>
      <c r="AK413" s="586"/>
      <c r="AL413" s="586"/>
      <c r="AM413" s="586"/>
      <c r="AN413" s="586"/>
      <c r="AO413" s="586"/>
      <c r="AP413" s="586"/>
      <c r="AQ413" s="586"/>
      <c r="AR413" s="586"/>
      <c r="AS413" s="586"/>
      <c r="AT413" s="586"/>
      <c r="AU413" s="586"/>
      <c r="AV413" s="586"/>
      <c r="AW413" s="586"/>
      <c r="AX413" s="586"/>
      <c r="AY413" s="586"/>
      <c r="AZ413" s="586"/>
      <c r="BA413" s="586"/>
      <c r="BB413" s="586"/>
      <c r="BC413" s="586"/>
      <c r="BD413" s="586"/>
      <c r="BE413" s="586"/>
      <c r="BF413" s="586"/>
      <c r="BG413" s="586"/>
      <c r="BH413" s="563"/>
      <c r="BI413" s="563"/>
      <c r="BJ413" s="563"/>
      <c r="BK413" s="563"/>
      <c r="BL413" s="563"/>
      <c r="BM413" s="563"/>
      <c r="BN413" s="563"/>
      <c r="BO413" s="563"/>
      <c r="BP413" s="563"/>
      <c r="BQ413" s="563"/>
      <c r="BR413" s="563"/>
      <c r="BS413" s="563"/>
      <c r="BT413" s="563"/>
      <c r="BU413" s="563"/>
      <c r="BV413" s="563"/>
      <c r="BW413" s="563"/>
      <c r="BX413" s="563"/>
      <c r="BY413" s="563"/>
      <c r="BZ413" s="563"/>
      <c r="CA413" s="563"/>
      <c r="CB413" s="563"/>
      <c r="CC413" s="563"/>
      <c r="CD413" s="563"/>
      <c r="CE413" s="563"/>
      <c r="CF413" s="563"/>
      <c r="CG413" s="563"/>
      <c r="CH413" s="563"/>
      <c r="CI413" s="563"/>
      <c r="CJ413" s="563"/>
      <c r="CK413" s="563"/>
      <c r="CL413" s="563"/>
      <c r="CM413" s="563"/>
      <c r="CN413" s="563"/>
    </row>
    <row r="414" spans="1:92" s="1" customFormat="1" ht="12.75">
      <c r="A414" s="578">
        <v>199</v>
      </c>
      <c r="B414" s="632" t="s">
        <v>1568</v>
      </c>
      <c r="C414" s="637" t="s">
        <v>1569</v>
      </c>
      <c r="D414" s="73"/>
      <c r="E414" s="125"/>
      <c r="F414" s="163"/>
      <c r="G414" s="493"/>
      <c r="H414" s="128"/>
      <c r="I414" s="78"/>
      <c r="J414" s="78"/>
      <c r="K414" s="252"/>
      <c r="L414" s="164"/>
      <c r="M414" s="177"/>
      <c r="N414" s="178"/>
      <c r="O414" s="701"/>
      <c r="P414" s="113"/>
      <c r="Q414" s="180"/>
      <c r="R414" s="181"/>
      <c r="S414" s="189"/>
      <c r="T414" s="85"/>
      <c r="U414" s="86"/>
      <c r="V414" s="11"/>
      <c r="W414" s="88"/>
      <c r="X414" s="88"/>
      <c r="Y414" s="35"/>
      <c r="Z414" s="35"/>
      <c r="AA414" s="170"/>
      <c r="AB414" s="237"/>
      <c r="AC414" s="20"/>
      <c r="AD414" s="206"/>
      <c r="AE414" s="160"/>
      <c r="AF414" s="704"/>
      <c r="AG414" s="70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row>
    <row r="415" spans="1:92" s="542" customFormat="1" ht="12.75">
      <c r="A415" s="578"/>
      <c r="B415" s="89"/>
      <c r="C415" s="105" t="s">
        <v>1570</v>
      </c>
      <c r="D415" s="78" t="s">
        <v>1571</v>
      </c>
      <c r="E415" s="125">
        <f>TEC381190</f>
        <v>0</v>
      </c>
      <c r="F415" s="163"/>
      <c r="G415" s="498" t="s">
        <v>1572</v>
      </c>
      <c r="H415" s="71" t="s">
        <v>1573</v>
      </c>
      <c r="I415" s="78" t="s">
        <v>1574</v>
      </c>
      <c r="J415" s="78" t="s">
        <v>1575</v>
      </c>
      <c r="K415" s="514">
        <f>TEC381190</f>
        <v>0</v>
      </c>
      <c r="L415" s="163"/>
      <c r="M415" s="177">
        <f>TIFD</f>
        <v>5.66</v>
      </c>
      <c r="N415" s="178"/>
      <c r="O415" s="701" t="str">
        <f>P</f>
        <v>. . .</v>
      </c>
      <c r="P415" s="113" t="s">
        <v>1576</v>
      </c>
      <c r="Q415" s="113" t="str">
        <f>VI</f>
        <v>(25)</v>
      </c>
      <c r="R415" s="193" t="str">
        <f>VI</f>
        <v>(25)</v>
      </c>
      <c r="S415" s="189"/>
      <c r="T415" s="85">
        <v>5728</v>
      </c>
      <c r="U415" s="86"/>
      <c r="V415" s="11"/>
      <c r="W415" s="88" t="str">
        <f>t</f>
        <v>TVO</v>
      </c>
      <c r="X415" s="88"/>
      <c r="Y415" s="35"/>
      <c r="Z415" s="35"/>
      <c r="AA415" s="170"/>
      <c r="AB415" s="237"/>
      <c r="AC415" s="20"/>
      <c r="AD415" s="206"/>
      <c r="AE415" s="160"/>
      <c r="AF415" s="704"/>
      <c r="AG415" s="70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row>
    <row r="416" spans="1:92" s="542" customFormat="1" ht="12.75">
      <c r="A416" s="578">
        <v>200</v>
      </c>
      <c r="B416" s="89" t="s">
        <v>1577</v>
      </c>
      <c r="C416" s="105" t="s">
        <v>1578</v>
      </c>
      <c r="D416" s="78"/>
      <c r="E416" s="125"/>
      <c r="F416" s="163"/>
      <c r="G416" s="498"/>
      <c r="H416" s="71"/>
      <c r="I416" s="78"/>
      <c r="J416" s="78"/>
      <c r="K416" s="514"/>
      <c r="L416" s="163"/>
      <c r="M416" s="177"/>
      <c r="N416" s="178"/>
      <c r="O416" s="701"/>
      <c r="P416" s="113"/>
      <c r="Q416" s="180"/>
      <c r="R416" s="181"/>
      <c r="S416" s="189"/>
      <c r="T416" s="182"/>
      <c r="U416" s="183"/>
      <c r="V416" s="11"/>
      <c r="W416" s="185"/>
      <c r="X416" s="185"/>
      <c r="Y416" s="170"/>
      <c r="Z416" s="170"/>
      <c r="AA416" s="170"/>
      <c r="AB416" s="237"/>
      <c r="AC416" s="20"/>
      <c r="AD416" s="206"/>
      <c r="AE416" s="206"/>
      <c r="AF416" s="704"/>
      <c r="AG416" s="70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row>
    <row r="417" spans="1:92" s="542" customFormat="1" ht="12.75">
      <c r="A417" s="578"/>
      <c r="B417" s="89"/>
      <c r="C417" s="105" t="s">
        <v>1579</v>
      </c>
      <c r="D417" s="78" t="s">
        <v>1580</v>
      </c>
      <c r="E417" s="125">
        <f>TEC381190</f>
        <v>0</v>
      </c>
      <c r="F417" s="163"/>
      <c r="G417" s="498" t="s">
        <v>1581</v>
      </c>
      <c r="H417" s="89" t="s">
        <v>1582</v>
      </c>
      <c r="I417" s="78" t="s">
        <v>1583</v>
      </c>
      <c r="J417" s="78" t="s">
        <v>1584</v>
      </c>
      <c r="K417" s="514">
        <f>TEC381190</f>
        <v>0</v>
      </c>
      <c r="L417" s="163"/>
      <c r="M417" s="177">
        <f>TIGO</f>
        <v>41.69</v>
      </c>
      <c r="N417" s="178"/>
      <c r="O417" s="701" t="str">
        <f>P</f>
        <v>. . .</v>
      </c>
      <c r="P417" s="113" t="s">
        <v>1585</v>
      </c>
      <c r="Q417" s="113" t="str">
        <f>VI</f>
        <v>(25)</v>
      </c>
      <c r="R417" s="193" t="str">
        <f>VI</f>
        <v>(25)</v>
      </c>
      <c r="S417" s="189"/>
      <c r="T417" s="85">
        <v>5731</v>
      </c>
      <c r="U417" s="86"/>
      <c r="V417" s="11"/>
      <c r="W417" s="88" t="str">
        <f>t</f>
        <v>TVO</v>
      </c>
      <c r="X417" s="88"/>
      <c r="Y417" s="35"/>
      <c r="Z417" s="35"/>
      <c r="AA417" s="35"/>
      <c r="AB417" s="237"/>
      <c r="AC417" s="20"/>
      <c r="AD417" s="206"/>
      <c r="AE417" s="206"/>
      <c r="AF417" s="704"/>
      <c r="AG417" s="70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row>
    <row r="418" spans="1:92" s="542" customFormat="1" ht="12.75">
      <c r="A418" s="578">
        <v>201</v>
      </c>
      <c r="B418" s="317" t="s">
        <v>1586</v>
      </c>
      <c r="C418" s="105" t="s">
        <v>1587</v>
      </c>
      <c r="D418" s="78" t="s">
        <v>1588</v>
      </c>
      <c r="E418" s="125">
        <f>TEC381190</f>
        <v>0</v>
      </c>
      <c r="F418" s="163"/>
      <c r="G418" s="217" t="s">
        <v>1589</v>
      </c>
      <c r="H418" s="71" t="s">
        <v>1590</v>
      </c>
      <c r="I418" s="78" t="s">
        <v>1591</v>
      </c>
      <c r="J418" s="78" t="s">
        <v>1592</v>
      </c>
      <c r="K418" s="658">
        <f>TEC381190</f>
        <v>0</v>
      </c>
      <c r="L418" s="163"/>
      <c r="M418" s="319">
        <f>TIARS</f>
        <v>63.96</v>
      </c>
      <c r="N418" s="320"/>
      <c r="O418" s="711" t="str">
        <f>P</f>
        <v>. . .</v>
      </c>
      <c r="P418" s="113" t="s">
        <v>1593</v>
      </c>
      <c r="Q418" s="113" t="str">
        <f>VI</f>
        <v>(25)</v>
      </c>
      <c r="R418" s="193" t="str">
        <f>VI</f>
        <v>(25)</v>
      </c>
      <c r="S418" s="626"/>
      <c r="T418" s="712">
        <v>5730</v>
      </c>
      <c r="U418" s="183"/>
      <c r="V418" s="598"/>
      <c r="W418" s="185" t="str">
        <f>t</f>
        <v>TVO</v>
      </c>
      <c r="X418" s="185"/>
      <c r="Y418" s="170"/>
      <c r="Z418" s="170"/>
      <c r="AA418" s="35"/>
      <c r="AB418" s="237"/>
      <c r="AC418" s="688"/>
      <c r="AD418" s="206"/>
      <c r="AE418" s="206"/>
      <c r="AF418" s="704"/>
      <c r="AG418" s="70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689"/>
      <c r="BI418" s="689"/>
      <c r="BJ418" s="689"/>
      <c r="BK418" s="689"/>
      <c r="BL418" s="689"/>
      <c r="BM418" s="689"/>
      <c r="BN418" s="689"/>
      <c r="BO418" s="689"/>
      <c r="BP418" s="689"/>
      <c r="BQ418" s="689"/>
      <c r="BR418" s="689"/>
      <c r="BS418" s="689"/>
      <c r="BT418" s="689"/>
      <c r="BU418" s="689"/>
      <c r="BV418" s="689"/>
      <c r="BW418" s="689"/>
      <c r="BX418" s="689"/>
      <c r="BY418" s="689"/>
      <c r="BZ418" s="689"/>
      <c r="CA418" s="689"/>
      <c r="CB418" s="689"/>
      <c r="CC418" s="689"/>
      <c r="CD418" s="689"/>
      <c r="CE418" s="689"/>
      <c r="CF418" s="689"/>
      <c r="CG418" s="689"/>
      <c r="CH418" s="689"/>
      <c r="CI418" s="689"/>
      <c r="CJ418" s="689"/>
      <c r="CK418" s="689"/>
      <c r="CL418" s="689"/>
      <c r="CM418" s="689"/>
      <c r="CN418" s="689"/>
    </row>
    <row r="419" spans="1:92" s="542" customFormat="1" ht="12.75">
      <c r="A419" s="578">
        <v>202</v>
      </c>
      <c r="B419" s="89" t="s">
        <v>1594</v>
      </c>
      <c r="C419" s="105" t="s">
        <v>1595</v>
      </c>
      <c r="D419" s="78"/>
      <c r="E419" s="125"/>
      <c r="F419" s="163"/>
      <c r="G419" s="498"/>
      <c r="H419" s="71"/>
      <c r="I419" s="78"/>
      <c r="J419" s="78"/>
      <c r="K419" s="514"/>
      <c r="L419" s="163"/>
      <c r="M419" s="177"/>
      <c r="N419" s="178"/>
      <c r="O419" s="701"/>
      <c r="P419" s="113"/>
      <c r="Q419" s="180"/>
      <c r="R419" s="181"/>
      <c r="S419" s="199"/>
      <c r="T419" s="85"/>
      <c r="U419" s="86"/>
      <c r="V419" s="87"/>
      <c r="W419" s="88"/>
      <c r="X419" s="88"/>
      <c r="Y419" s="35"/>
      <c r="Z419" s="35"/>
      <c r="AA419" s="170"/>
      <c r="AB419" s="237"/>
      <c r="AC419" s="20"/>
      <c r="AD419" s="206"/>
      <c r="AE419" s="160"/>
      <c r="AF419" s="704"/>
      <c r="AG419" s="70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row>
    <row r="420" spans="1:92" s="542" customFormat="1" ht="12.75">
      <c r="A420" s="578"/>
      <c r="B420" s="713"/>
      <c r="C420" s="105" t="s">
        <v>1596</v>
      </c>
      <c r="D420" s="78"/>
      <c r="E420" s="125"/>
      <c r="F420" s="163"/>
      <c r="G420" s="498"/>
      <c r="H420" s="71"/>
      <c r="I420" s="78"/>
      <c r="J420" s="78"/>
      <c r="K420" s="514"/>
      <c r="L420" s="163"/>
      <c r="M420" s="177"/>
      <c r="N420" s="178"/>
      <c r="O420" s="701"/>
      <c r="P420" s="113"/>
      <c r="Q420" s="180"/>
      <c r="R420" s="181"/>
      <c r="S420" s="199"/>
      <c r="T420" s="85"/>
      <c r="U420" s="86"/>
      <c r="V420" s="87"/>
      <c r="W420" s="88"/>
      <c r="X420" s="88"/>
      <c r="Y420" s="35"/>
      <c r="Z420" s="35"/>
      <c r="AA420" s="35"/>
      <c r="AB420" s="237"/>
      <c r="AC420" s="20"/>
      <c r="AD420" s="206"/>
      <c r="AE420" s="206"/>
      <c r="AF420" s="704"/>
      <c r="AG420" s="70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row>
    <row r="421" spans="1:92" s="542" customFormat="1" ht="12.75">
      <c r="A421" s="578"/>
      <c r="B421" s="89"/>
      <c r="C421" s="105" t="s">
        <v>1597</v>
      </c>
      <c r="D421" s="78"/>
      <c r="E421" s="125"/>
      <c r="F421" s="163"/>
      <c r="G421" s="498"/>
      <c r="H421" s="71"/>
      <c r="I421" s="78"/>
      <c r="J421" s="78"/>
      <c r="K421" s="514"/>
      <c r="L421" s="163"/>
      <c r="M421" s="177"/>
      <c r="N421" s="178"/>
      <c r="O421" s="701"/>
      <c r="P421" s="113"/>
      <c r="Q421" s="180"/>
      <c r="R421" s="181"/>
      <c r="S421" s="189"/>
      <c r="T421" s="182"/>
      <c r="U421" s="183"/>
      <c r="V421" s="184"/>
      <c r="W421" s="185"/>
      <c r="X421" s="185"/>
      <c r="Y421" s="170"/>
      <c r="Z421" s="170"/>
      <c r="AA421" s="170"/>
      <c r="AB421" s="237"/>
      <c r="AC421" s="20"/>
      <c r="AD421" s="206"/>
      <c r="AE421" s="160"/>
      <c r="AF421" s="704"/>
      <c r="AG421" s="70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row>
    <row r="422" spans="1:92" s="542" customFormat="1" ht="12.75">
      <c r="A422" s="578"/>
      <c r="B422" s="89"/>
      <c r="C422" s="105" t="s">
        <v>1598</v>
      </c>
      <c r="D422" s="78" t="s">
        <v>1599</v>
      </c>
      <c r="E422" s="125">
        <f>TEC381190</f>
        <v>0</v>
      </c>
      <c r="F422" s="163"/>
      <c r="G422" s="217" t="s">
        <v>1600</v>
      </c>
      <c r="H422" s="71" t="s">
        <v>1601</v>
      </c>
      <c r="I422" s="78" t="s">
        <v>1602</v>
      </c>
      <c r="J422" s="78" t="s">
        <v>1603</v>
      </c>
      <c r="K422" s="514">
        <f>TEC381190</f>
        <v>0</v>
      </c>
      <c r="L422" s="163"/>
      <c r="M422" s="177">
        <f>TIARS</f>
        <v>63.96</v>
      </c>
      <c r="N422" s="178"/>
      <c r="O422" s="701" t="str">
        <f>P</f>
        <v>. . .</v>
      </c>
      <c r="P422" s="113" t="s">
        <v>1604</v>
      </c>
      <c r="Q422" s="113" t="str">
        <f>VI</f>
        <v>(25)</v>
      </c>
      <c r="R422" s="193" t="str">
        <f>VI</f>
        <v>(25)</v>
      </c>
      <c r="S422" s="199"/>
      <c r="T422" s="182">
        <v>5730</v>
      </c>
      <c r="U422" s="183"/>
      <c r="V422" s="11"/>
      <c r="W422" s="185" t="str">
        <f>t</f>
        <v>TVO</v>
      </c>
      <c r="X422" s="185"/>
      <c r="Y422" s="170">
        <v>9109</v>
      </c>
      <c r="Z422" s="170"/>
      <c r="AA422" s="35"/>
      <c r="AB422" s="237"/>
      <c r="AC422" s="20"/>
      <c r="AD422" s="206"/>
      <c r="AE422" s="206"/>
      <c r="AF422" s="704"/>
      <c r="AG422" s="70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row>
    <row r="423" spans="1:92" s="542" customFormat="1" ht="12.75">
      <c r="A423" s="578">
        <v>203</v>
      </c>
      <c r="B423" s="253" t="s">
        <v>1605</v>
      </c>
      <c r="C423" s="105" t="s">
        <v>1606</v>
      </c>
      <c r="D423" s="78" t="s">
        <v>1607</v>
      </c>
      <c r="E423" s="125">
        <f>TEC381190</f>
        <v>0</v>
      </c>
      <c r="F423" s="163"/>
      <c r="G423" s="217"/>
      <c r="H423" s="71"/>
      <c r="I423" s="78" t="s">
        <v>1608</v>
      </c>
      <c r="J423" s="78" t="s">
        <v>1609</v>
      </c>
      <c r="K423" s="514">
        <f>TEC381190</f>
        <v>0</v>
      </c>
      <c r="L423" s="163"/>
      <c r="M423" s="177">
        <f>TIARS</f>
        <v>63.96</v>
      </c>
      <c r="N423" s="178"/>
      <c r="O423" s="701" t="str">
        <f>P</f>
        <v>. . .</v>
      </c>
      <c r="P423" s="113" t="s">
        <v>1610</v>
      </c>
      <c r="Q423" s="113" t="str">
        <f>VI</f>
        <v>(25)</v>
      </c>
      <c r="R423" s="193" t="str">
        <f>VI</f>
        <v>(25)</v>
      </c>
      <c r="S423" s="189"/>
      <c r="T423" s="182">
        <v>5730</v>
      </c>
      <c r="U423" s="183"/>
      <c r="V423" s="11"/>
      <c r="W423" s="185" t="str">
        <f>t</f>
        <v>TVO</v>
      </c>
      <c r="X423" s="185"/>
      <c r="Y423" s="170"/>
      <c r="Z423" s="170"/>
      <c r="AA423" s="35"/>
      <c r="AB423" s="237"/>
      <c r="AC423" s="20"/>
      <c r="AD423" s="206"/>
      <c r="AE423" s="160"/>
      <c r="AF423" s="704"/>
      <c r="AG423" s="70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row>
    <row r="424" spans="1:92" s="1" customFormat="1" ht="12.75">
      <c r="A424" s="578"/>
      <c r="B424" s="632"/>
      <c r="C424" s="681" t="s">
        <v>1611</v>
      </c>
      <c r="D424" s="714"/>
      <c r="E424" s="125"/>
      <c r="F424" s="89"/>
      <c r="G424" s="76"/>
      <c r="H424" s="485"/>
      <c r="I424" s="78"/>
      <c r="J424" s="180"/>
      <c r="K424" s="459"/>
      <c r="L424" s="486"/>
      <c r="M424" s="177"/>
      <c r="N424" s="487"/>
      <c r="O424" s="715"/>
      <c r="P424" s="305"/>
      <c r="Q424" s="168"/>
      <c r="R424" s="169"/>
      <c r="S424" s="199"/>
      <c r="T424" s="58"/>
      <c r="U424" s="59"/>
      <c r="V424" s="60"/>
      <c r="W424" s="61"/>
      <c r="X424" s="61"/>
      <c r="Y424" s="18"/>
      <c r="Z424" s="18"/>
      <c r="AA424" s="170"/>
      <c r="AB424" s="237"/>
      <c r="AC424" s="20"/>
      <c r="AD424" s="206"/>
      <c r="AE424" s="206"/>
      <c r="AF424" s="704"/>
      <c r="AG424" s="70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row>
    <row r="425" spans="1:92" s="1" customFormat="1" ht="12.75">
      <c r="A425" s="578"/>
      <c r="B425" s="632"/>
      <c r="C425" s="682" t="s">
        <v>1612</v>
      </c>
      <c r="D425" s="714"/>
      <c r="E425" s="125"/>
      <c r="F425" s="89"/>
      <c r="G425" s="76"/>
      <c r="H425" s="485"/>
      <c r="I425" s="78"/>
      <c r="J425" s="180"/>
      <c r="K425" s="459"/>
      <c r="L425" s="486"/>
      <c r="M425" s="177"/>
      <c r="N425" s="487"/>
      <c r="O425" s="715"/>
      <c r="P425" s="305"/>
      <c r="Q425" s="168"/>
      <c r="R425" s="169"/>
      <c r="S425" s="189"/>
      <c r="T425" s="58"/>
      <c r="U425" s="59"/>
      <c r="V425" s="60"/>
      <c r="W425" s="61"/>
      <c r="X425" s="61"/>
      <c r="Y425" s="18"/>
      <c r="Z425" s="18"/>
      <c r="AA425" s="170"/>
      <c r="AB425" s="237"/>
      <c r="AC425" s="20"/>
      <c r="AD425" s="206"/>
      <c r="AE425" s="160"/>
      <c r="AF425" s="704"/>
      <c r="AG425" s="70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row>
    <row r="426" spans="1:92" s="1" customFormat="1" ht="12.75">
      <c r="A426" s="578"/>
      <c r="B426" s="632"/>
      <c r="C426" s="660"/>
      <c r="D426" s="714"/>
      <c r="E426" s="125"/>
      <c r="F426" s="317"/>
      <c r="G426" s="76"/>
      <c r="H426" s="485"/>
      <c r="I426" s="78"/>
      <c r="J426" s="180"/>
      <c r="K426" s="459"/>
      <c r="L426" s="486"/>
      <c r="M426" s="177"/>
      <c r="N426" s="487"/>
      <c r="O426" s="715"/>
      <c r="P426" s="305"/>
      <c r="Q426" s="168"/>
      <c r="R426" s="169"/>
      <c r="S426" s="189"/>
      <c r="T426" s="58"/>
      <c r="U426" s="59"/>
      <c r="V426" s="60"/>
      <c r="W426" s="61"/>
      <c r="X426" s="61"/>
      <c r="Y426" s="18"/>
      <c r="Z426" s="18"/>
      <c r="AA426" s="35"/>
      <c r="AB426" s="237"/>
      <c r="AC426" s="20"/>
      <c r="AD426" s="206"/>
      <c r="AE426" s="160"/>
      <c r="AF426" s="704"/>
      <c r="AG426" s="70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row>
    <row r="427" spans="1:92" s="1" customFormat="1" ht="12.75">
      <c r="A427" s="578">
        <v>204</v>
      </c>
      <c r="B427" s="632" t="s">
        <v>1613</v>
      </c>
      <c r="C427" s="637" t="s">
        <v>1614</v>
      </c>
      <c r="D427" s="73" t="s">
        <v>1615</v>
      </c>
      <c r="E427" s="125">
        <f>TEC3817</f>
        <v>0</v>
      </c>
      <c r="F427" s="317"/>
      <c r="G427" s="76"/>
      <c r="H427" s="485"/>
      <c r="I427" s="78" t="str">
        <f>R</f>
        <v>Réelle</v>
      </c>
      <c r="J427" s="113" t="s">
        <v>1616</v>
      </c>
      <c r="K427" s="716">
        <f>TEC3817</f>
        <v>0</v>
      </c>
      <c r="L427" s="486"/>
      <c r="M427" s="177" t="str">
        <f>"(9)"</f>
        <v>(9)</v>
      </c>
      <c r="N427" s="487"/>
      <c r="O427" s="717" t="str">
        <f>P</f>
        <v>. . .</v>
      </c>
      <c r="P427" s="113" t="s">
        <v>1617</v>
      </c>
      <c r="Q427" s="113" t="str">
        <f>VI</f>
        <v>(25)</v>
      </c>
      <c r="R427" s="193" t="str">
        <f>VI</f>
        <v>(25)</v>
      </c>
      <c r="S427" s="199"/>
      <c r="T427" s="9"/>
      <c r="U427" s="10"/>
      <c r="V427" s="11"/>
      <c r="W427" s="61" t="str">
        <f>t</f>
        <v>TVO</v>
      </c>
      <c r="X427" s="61"/>
      <c r="Y427" s="18">
        <v>4004</v>
      </c>
      <c r="Z427" s="18">
        <v>9348</v>
      </c>
      <c r="AA427" s="18"/>
      <c r="AB427" s="237"/>
      <c r="AC427" s="20"/>
      <c r="AD427" s="209"/>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row>
    <row r="428" spans="1:92" s="1" customFormat="1" ht="12.75">
      <c r="A428" s="578"/>
      <c r="B428" s="632"/>
      <c r="C428" s="637" t="s">
        <v>1618</v>
      </c>
      <c r="D428" s="73"/>
      <c r="E428" s="125"/>
      <c r="F428" s="317"/>
      <c r="G428" s="76"/>
      <c r="H428" s="485"/>
      <c r="I428" s="78"/>
      <c r="J428" s="113"/>
      <c r="K428" s="716"/>
      <c r="L428" s="486"/>
      <c r="M428" s="177"/>
      <c r="N428" s="487"/>
      <c r="O428" s="717"/>
      <c r="P428" s="113"/>
      <c r="Q428" s="113"/>
      <c r="R428" s="193"/>
      <c r="S428" s="718"/>
      <c r="T428" s="9"/>
      <c r="U428" s="10"/>
      <c r="V428" s="11"/>
      <c r="W428" s="88"/>
      <c r="X428" s="88"/>
      <c r="Y428" s="35"/>
      <c r="Z428" s="35"/>
      <c r="AA428" s="18"/>
      <c r="AB428" s="237"/>
      <c r="AC428" s="20"/>
      <c r="AD428" s="209"/>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row>
    <row r="429" spans="1:92" s="1" customFormat="1" ht="24" customHeight="1">
      <c r="A429" s="578">
        <v>205</v>
      </c>
      <c r="B429" s="372" t="s">
        <v>1619</v>
      </c>
      <c r="C429" s="719" t="s">
        <v>1620</v>
      </c>
      <c r="D429" s="78" t="s">
        <v>1621</v>
      </c>
      <c r="E429" s="125">
        <f>TEC3817</f>
        <v>0</v>
      </c>
      <c r="F429" s="317"/>
      <c r="G429" s="720"/>
      <c r="H429" s="218"/>
      <c r="I429" s="78" t="str">
        <f>R</f>
        <v>Réelle</v>
      </c>
      <c r="J429" s="113" t="s">
        <v>1622</v>
      </c>
      <c r="K429" s="721">
        <f>TEC3817</f>
        <v>0</v>
      </c>
      <c r="L429" s="722"/>
      <c r="M429" s="177" t="s">
        <v>1623</v>
      </c>
      <c r="N429" s="487"/>
      <c r="O429" s="723">
        <f>TGAP</f>
        <v>3.811</v>
      </c>
      <c r="P429" s="113" t="s">
        <v>1624</v>
      </c>
      <c r="Q429" s="113" t="str">
        <f>VI</f>
        <v>(25)</v>
      </c>
      <c r="R429" s="193" t="str">
        <f>VI</f>
        <v>(25)</v>
      </c>
      <c r="S429" s="718"/>
      <c r="T429" s="85">
        <v>5703</v>
      </c>
      <c r="U429" s="86" t="s">
        <v>1625</v>
      </c>
      <c r="V429" s="11"/>
      <c r="W429" s="61" t="str">
        <f>t</f>
        <v>TVO</v>
      </c>
      <c r="X429" s="61"/>
      <c r="Y429" s="18">
        <v>4004</v>
      </c>
      <c r="Z429" s="35">
        <v>9181</v>
      </c>
      <c r="AA429" s="18" t="s">
        <v>1626</v>
      </c>
      <c r="AB429" s="237"/>
      <c r="AC429" s="20"/>
      <c r="AD429" s="209"/>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row>
    <row r="430" spans="1:92" s="596" customFormat="1" ht="12.75">
      <c r="A430" s="578">
        <v>206</v>
      </c>
      <c r="B430" s="89" t="s">
        <v>1627</v>
      </c>
      <c r="C430" s="684" t="s">
        <v>1628</v>
      </c>
      <c r="D430" s="73" t="s">
        <v>1629</v>
      </c>
      <c r="E430" s="125">
        <f>TEC3817</f>
        <v>0</v>
      </c>
      <c r="F430" s="317"/>
      <c r="G430" s="76"/>
      <c r="H430" s="485"/>
      <c r="I430" s="78" t="str">
        <f>R</f>
        <v>Réelle</v>
      </c>
      <c r="J430" s="113" t="s">
        <v>1630</v>
      </c>
      <c r="K430" s="716">
        <f>TEC3817</f>
        <v>0</v>
      </c>
      <c r="L430" s="486"/>
      <c r="M430" s="177" t="str">
        <f>"(9)"</f>
        <v>(9)</v>
      </c>
      <c r="N430" s="487"/>
      <c r="O430" s="717" t="str">
        <f>P</f>
        <v>. . .</v>
      </c>
      <c r="P430" s="113" t="s">
        <v>1631</v>
      </c>
      <c r="Q430" s="113" t="str">
        <f>VI</f>
        <v>(25)</v>
      </c>
      <c r="R430" s="193" t="str">
        <f>VI</f>
        <v>(25)</v>
      </c>
      <c r="S430" s="718"/>
      <c r="T430" s="9"/>
      <c r="U430" s="10"/>
      <c r="V430" s="440"/>
      <c r="W430" s="61" t="str">
        <f>t</f>
        <v>TVO</v>
      </c>
      <c r="X430" s="61"/>
      <c r="Y430" s="18">
        <v>4004</v>
      </c>
      <c r="Z430" s="18"/>
      <c r="AA430" s="18"/>
      <c r="AB430" s="237"/>
      <c r="AC430" s="20"/>
      <c r="AD430" s="209"/>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row>
    <row r="431" spans="1:92" s="1" customFormat="1" ht="12.75">
      <c r="A431" s="578"/>
      <c r="B431" s="632"/>
      <c r="C431" s="660"/>
      <c r="D431" s="73"/>
      <c r="E431" s="125"/>
      <c r="F431" s="89"/>
      <c r="G431" s="76"/>
      <c r="H431" s="485"/>
      <c r="I431" s="78"/>
      <c r="J431" s="113"/>
      <c r="K431" s="716"/>
      <c r="L431" s="486"/>
      <c r="M431" s="177"/>
      <c r="N431" s="487"/>
      <c r="O431" s="717"/>
      <c r="P431" s="113"/>
      <c r="Q431" s="113"/>
      <c r="R431" s="193"/>
      <c r="S431" s="718"/>
      <c r="T431" s="9"/>
      <c r="U431" s="10"/>
      <c r="V431" s="11"/>
      <c r="W431" s="61"/>
      <c r="X431" s="61"/>
      <c r="Y431" s="18"/>
      <c r="Z431" s="18"/>
      <c r="AA431" s="35"/>
      <c r="AB431" s="237"/>
      <c r="AC431" s="20"/>
      <c r="AD431" s="209"/>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row>
    <row r="432" spans="1:92" s="1" customFormat="1" ht="12.75">
      <c r="A432" s="578"/>
      <c r="B432" s="632"/>
      <c r="C432" s="660"/>
      <c r="D432" s="73"/>
      <c r="E432" s="125"/>
      <c r="F432" s="89"/>
      <c r="G432" s="76"/>
      <c r="H432" s="485"/>
      <c r="I432" s="78"/>
      <c r="J432" s="113"/>
      <c r="K432" s="716"/>
      <c r="L432" s="486"/>
      <c r="M432" s="177"/>
      <c r="N432" s="487"/>
      <c r="O432" s="717"/>
      <c r="P432" s="113"/>
      <c r="Q432" s="113"/>
      <c r="R432" s="193"/>
      <c r="S432" s="718"/>
      <c r="T432" s="9"/>
      <c r="U432" s="10"/>
      <c r="V432" s="11"/>
      <c r="W432" s="88"/>
      <c r="X432" s="88"/>
      <c r="Y432" s="35"/>
      <c r="Z432" s="35"/>
      <c r="AA432" s="35"/>
      <c r="AB432" s="237"/>
      <c r="AC432" s="20"/>
      <c r="AD432" s="209"/>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row>
    <row r="433" spans="1:92" s="1" customFormat="1" ht="12.75">
      <c r="A433" s="578"/>
      <c r="B433" s="632"/>
      <c r="C433" s="724" t="s">
        <v>1632</v>
      </c>
      <c r="D433" s="714"/>
      <c r="E433" s="125"/>
      <c r="F433" s="89"/>
      <c r="G433" s="76"/>
      <c r="H433" s="485"/>
      <c r="I433" s="78"/>
      <c r="J433" s="180"/>
      <c r="K433" s="459"/>
      <c r="L433" s="486"/>
      <c r="M433" s="177"/>
      <c r="N433" s="487"/>
      <c r="O433" s="715"/>
      <c r="P433" s="305"/>
      <c r="Q433" s="168"/>
      <c r="R433" s="169"/>
      <c r="S433" s="199"/>
      <c r="T433" s="85"/>
      <c r="U433" s="86"/>
      <c r="V433" s="87"/>
      <c r="W433" s="61"/>
      <c r="X433" s="61"/>
      <c r="Y433" s="18"/>
      <c r="Z433" s="18"/>
      <c r="AA433" s="35"/>
      <c r="AB433" s="237"/>
      <c r="AC433" s="20"/>
      <c r="AD433" s="209"/>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row>
    <row r="434" spans="1:92" s="1" customFormat="1" ht="12.75">
      <c r="A434" s="578"/>
      <c r="B434" s="632"/>
      <c r="C434" s="724"/>
      <c r="D434" s="714"/>
      <c r="E434" s="125"/>
      <c r="F434" s="89"/>
      <c r="G434" s="76"/>
      <c r="H434" s="485"/>
      <c r="I434" s="78"/>
      <c r="J434" s="180"/>
      <c r="K434" s="459"/>
      <c r="L434" s="486"/>
      <c r="M434" s="177"/>
      <c r="N434" s="725"/>
      <c r="O434" s="726"/>
      <c r="P434" s="305"/>
      <c r="Q434" s="168"/>
      <c r="R434" s="169"/>
      <c r="S434" s="199"/>
      <c r="T434" s="58"/>
      <c r="U434" s="59"/>
      <c r="V434" s="60"/>
      <c r="W434" s="61"/>
      <c r="X434" s="61"/>
      <c r="Y434" s="18"/>
      <c r="Z434" s="18"/>
      <c r="AA434" s="35"/>
      <c r="AB434" s="237"/>
      <c r="AC434" s="20"/>
      <c r="AD434" s="209"/>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row>
    <row r="435" spans="1:92" s="1" customFormat="1" ht="30" customHeight="1">
      <c r="A435" s="599">
        <v>207</v>
      </c>
      <c r="B435" s="727" t="s">
        <v>1633</v>
      </c>
      <c r="C435" s="728" t="s">
        <v>1634</v>
      </c>
      <c r="D435" s="73" t="s">
        <v>1635</v>
      </c>
      <c r="E435" s="125">
        <f>TEC38249095</f>
        <v>0</v>
      </c>
      <c r="F435" s="163"/>
      <c r="G435" s="493"/>
      <c r="H435" s="128"/>
      <c r="I435" s="113">
        <f>VFFOD</f>
        <v>29.7</v>
      </c>
      <c r="J435" s="78" t="s">
        <v>1636</v>
      </c>
      <c r="K435" s="250">
        <f>ROUND(I435*TEC38249095,2)</f>
        <v>1.93</v>
      </c>
      <c r="L435" s="164"/>
      <c r="M435" s="177">
        <f>TIEEGsce</f>
        <v>1.8</v>
      </c>
      <c r="N435" s="218"/>
      <c r="O435" s="729" t="str">
        <f>P</f>
        <v>. . .</v>
      </c>
      <c r="P435" s="113" t="s">
        <v>1637</v>
      </c>
      <c r="Q435" s="180">
        <f>SUM(I435:P435)*19.6%</f>
        <v>6.5522800000000005</v>
      </c>
      <c r="R435" s="181">
        <f>SUM(I435:P435)*13%</f>
        <v>4.3459</v>
      </c>
      <c r="S435" s="199"/>
      <c r="T435" s="58">
        <v>5709</v>
      </c>
      <c r="U435" s="59"/>
      <c r="V435" s="11"/>
      <c r="W435" s="219">
        <v>5939</v>
      </c>
      <c r="X435" s="219"/>
      <c r="Y435" s="18">
        <v>9309</v>
      </c>
      <c r="Z435" s="18"/>
      <c r="AA435" s="35"/>
      <c r="AB435" s="237"/>
      <c r="AC435" s="20"/>
      <c r="AD435" s="209"/>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row>
    <row r="436" spans="1:92" s="1" customFormat="1" ht="12.75">
      <c r="A436" s="578"/>
      <c r="B436" s="730"/>
      <c r="C436" s="731"/>
      <c r="D436" s="73"/>
      <c r="E436" s="125"/>
      <c r="F436" s="163"/>
      <c r="G436" s="493"/>
      <c r="H436" s="128"/>
      <c r="I436" s="78"/>
      <c r="J436" s="78"/>
      <c r="K436" s="252"/>
      <c r="L436" s="164"/>
      <c r="M436" s="177"/>
      <c r="N436" s="218"/>
      <c r="O436" s="732"/>
      <c r="P436" s="113"/>
      <c r="Q436" s="180"/>
      <c r="R436" s="181"/>
      <c r="S436" s="199"/>
      <c r="T436" s="58"/>
      <c r="U436" s="59"/>
      <c r="V436" s="11"/>
      <c r="W436" s="61"/>
      <c r="X436" s="61"/>
      <c r="Y436" s="18"/>
      <c r="Z436" s="18"/>
      <c r="AA436" s="18"/>
      <c r="AB436" s="237"/>
      <c r="AC436" s="20"/>
      <c r="AD436" s="209"/>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row>
    <row r="437" spans="1:92" s="1" customFormat="1" ht="27.75">
      <c r="A437" s="599">
        <v>208</v>
      </c>
      <c r="B437" s="733" t="s">
        <v>1638</v>
      </c>
      <c r="C437" s="731" t="s">
        <v>1639</v>
      </c>
      <c r="D437" s="73" t="s">
        <v>1640</v>
      </c>
      <c r="E437" s="125">
        <f>TEC38249095</f>
        <v>0</v>
      </c>
      <c r="F437" s="166"/>
      <c r="G437" s="110"/>
      <c r="H437" s="128"/>
      <c r="I437" s="113">
        <f>VFGO</f>
        <v>32.04</v>
      </c>
      <c r="J437" s="78" t="s">
        <v>1641</v>
      </c>
      <c r="K437" s="250">
        <f>ROUND(I437*TEC38249095,2)</f>
        <v>2.08</v>
      </c>
      <c r="L437" s="734"/>
      <c r="M437" s="319">
        <f>TIEEGcarb</f>
        <v>24.54</v>
      </c>
      <c r="N437" s="218"/>
      <c r="O437" s="729" t="str">
        <f>P</f>
        <v>. . .</v>
      </c>
      <c r="P437" s="113" t="s">
        <v>1642</v>
      </c>
      <c r="Q437" s="180">
        <f>SUM(I437:P437)*19.6%</f>
        <v>11.49736</v>
      </c>
      <c r="R437" s="181">
        <f>SUM(I437:P437)*13%</f>
        <v>7.6258</v>
      </c>
      <c r="S437" s="199"/>
      <c r="T437" s="735">
        <v>5718</v>
      </c>
      <c r="U437" s="736"/>
      <c r="V437" s="11"/>
      <c r="W437" s="737">
        <v>5940</v>
      </c>
      <c r="X437" s="737"/>
      <c r="Y437" s="738">
        <v>9309</v>
      </c>
      <c r="Z437" s="18"/>
      <c r="AA437" s="18"/>
      <c r="AB437" s="237"/>
      <c r="AC437" s="20"/>
      <c r="AD437" s="206"/>
      <c r="AE437" s="206"/>
      <c r="AF437" s="704"/>
      <c r="AG437" s="70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row>
    <row r="438" spans="1:92" s="1" customFormat="1" ht="12.75">
      <c r="A438" s="578"/>
      <c r="B438" s="730"/>
      <c r="C438" s="739"/>
      <c r="D438" s="73"/>
      <c r="E438" s="125"/>
      <c r="F438" s="163"/>
      <c r="G438" s="493"/>
      <c r="H438" s="128"/>
      <c r="I438" s="78"/>
      <c r="J438" s="78"/>
      <c r="K438" s="252"/>
      <c r="L438" s="164"/>
      <c r="M438" s="177"/>
      <c r="N438" s="218"/>
      <c r="O438" s="732"/>
      <c r="P438" s="113"/>
      <c r="Q438" s="180"/>
      <c r="R438" s="181"/>
      <c r="S438" s="740"/>
      <c r="T438" s="182"/>
      <c r="U438" s="183"/>
      <c r="V438" s="184"/>
      <c r="W438" s="185"/>
      <c r="X438" s="185"/>
      <c r="Y438" s="170"/>
      <c r="Z438" s="170"/>
      <c r="AA438" s="18"/>
      <c r="AB438" s="237"/>
      <c r="AC438" s="20"/>
      <c r="AD438" s="209"/>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row>
    <row r="439" spans="1:92" s="1" customFormat="1" ht="33" customHeight="1">
      <c r="A439" s="741">
        <v>209</v>
      </c>
      <c r="B439" s="742" t="s">
        <v>1643</v>
      </c>
      <c r="C439" s="743" t="s">
        <v>1644</v>
      </c>
      <c r="D439" s="225" t="s">
        <v>1645</v>
      </c>
      <c r="E439" s="226">
        <f>TEC38249095</f>
        <v>0</v>
      </c>
      <c r="F439" s="227"/>
      <c r="G439" s="744" t="s">
        <v>1646</v>
      </c>
      <c r="H439" s="745" t="s">
        <v>1647</v>
      </c>
      <c r="I439" s="235">
        <f>VFGO</f>
        <v>32.04</v>
      </c>
      <c r="J439" s="230" t="s">
        <v>1648</v>
      </c>
      <c r="K439" s="453">
        <f>ROUND(I439*TEC38249095,2)</f>
        <v>2.08</v>
      </c>
      <c r="L439" s="231"/>
      <c r="M439" s="232" t="s">
        <v>1649</v>
      </c>
      <c r="N439" s="233"/>
      <c r="O439" s="746" t="str">
        <f>P</f>
        <v>. . .</v>
      </c>
      <c r="P439" s="235" t="s">
        <v>1650</v>
      </c>
      <c r="Q439" s="535">
        <f>SUM(I439:P439)*19.6%</f>
        <v>6.68752</v>
      </c>
      <c r="R439" s="747">
        <f>SUM(I439:P439)*13%</f>
        <v>4.4356</v>
      </c>
      <c r="S439" s="718"/>
      <c r="T439" s="9"/>
      <c r="U439" s="10"/>
      <c r="V439" s="11"/>
      <c r="W439" s="190">
        <v>5941</v>
      </c>
      <c r="X439" s="190"/>
      <c r="Y439" s="170">
        <v>9309</v>
      </c>
      <c r="Z439" s="170">
        <v>4012</v>
      </c>
      <c r="AA439" s="18"/>
      <c r="AB439" s="237"/>
      <c r="AC439" s="20"/>
      <c r="AD439" s="206"/>
      <c r="AE439" s="160"/>
      <c r="AF439" s="704"/>
      <c r="AG439" s="70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row>
    <row r="440" spans="1:92" s="1" customFormat="1" ht="12.75">
      <c r="A440" s="748"/>
      <c r="B440" s="730"/>
      <c r="C440" s="749"/>
      <c r="D440" s="730"/>
      <c r="E440" s="750"/>
      <c r="F440" s="163"/>
      <c r="G440" s="494"/>
      <c r="H440" s="128"/>
      <c r="I440" s="497"/>
      <c r="J440" s="71"/>
      <c r="K440" s="250"/>
      <c r="L440" s="164"/>
      <c r="M440" s="218"/>
      <c r="N440" s="218"/>
      <c r="O440" s="497"/>
      <c r="P440" s="497"/>
      <c r="Q440" s="218"/>
      <c r="R440" s="218"/>
      <c r="S440" s="751"/>
      <c r="T440" s="182"/>
      <c r="U440" s="183"/>
      <c r="V440" s="184"/>
      <c r="W440" s="185"/>
      <c r="X440" s="185"/>
      <c r="Y440" s="170"/>
      <c r="Z440" s="170"/>
      <c r="AA440" s="18"/>
      <c r="AB440" s="237"/>
      <c r="AC440" s="20"/>
      <c r="AD440" s="206"/>
      <c r="AE440" s="160"/>
      <c r="AF440" s="704"/>
      <c r="AG440" s="70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row>
    <row r="441" spans="1:92" s="1" customFormat="1" ht="12.75">
      <c r="A441" s="748"/>
      <c r="B441" s="730"/>
      <c r="C441" s="749"/>
      <c r="D441" s="603"/>
      <c r="E441" s="752"/>
      <c r="F441" s="603"/>
      <c r="G441" s="753"/>
      <c r="H441" s="753"/>
      <c r="I441" s="603"/>
      <c r="J441" s="603"/>
      <c r="K441" s="754"/>
      <c r="L441" s="754"/>
      <c r="M441" s="7"/>
      <c r="N441" s="7"/>
      <c r="O441" s="7"/>
      <c r="P441" s="7"/>
      <c r="Q441" s="7"/>
      <c r="R441" s="7"/>
      <c r="S441" s="720"/>
      <c r="T441" s="9"/>
      <c r="U441" s="10"/>
      <c r="V441" s="11"/>
      <c r="W441" s="12"/>
      <c r="X441" s="12"/>
      <c r="Y441" s="13"/>
      <c r="Z441" s="13"/>
      <c r="AA441" s="170"/>
      <c r="AB441" s="237"/>
      <c r="AC441" s="20"/>
      <c r="AD441" s="206"/>
      <c r="AE441" s="206"/>
      <c r="AF441" s="704"/>
      <c r="AG441" s="70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row>
    <row r="442" spans="1:92" s="1" customFormat="1" ht="12.75">
      <c r="A442" s="748"/>
      <c r="B442" s="730"/>
      <c r="C442" s="755"/>
      <c r="D442" s="730"/>
      <c r="E442" s="756"/>
      <c r="F442" s="34"/>
      <c r="G442" s="757"/>
      <c r="H442" s="378"/>
      <c r="I442" s="34"/>
      <c r="J442" s="34"/>
      <c r="K442" s="306"/>
      <c r="L442" s="306"/>
      <c r="M442" s="34"/>
      <c r="N442" s="34"/>
      <c r="O442" s="132"/>
      <c r="P442" s="34"/>
      <c r="Q442" s="159"/>
      <c r="R442" s="159"/>
      <c r="S442" s="7"/>
      <c r="T442" s="182"/>
      <c r="U442" s="183"/>
      <c r="V442" s="184"/>
      <c r="W442" s="185"/>
      <c r="X442" s="185"/>
      <c r="Y442" s="170"/>
      <c r="Z442" s="170"/>
      <c r="AA442" s="170"/>
      <c r="AB442" s="237"/>
      <c r="AC442" s="20"/>
      <c r="AD442" s="206"/>
      <c r="AE442" s="206"/>
      <c r="AF442" s="704"/>
      <c r="AG442" s="70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row>
    <row r="443" spans="1:92" s="1" customFormat="1" ht="12.75">
      <c r="A443" s="603"/>
      <c r="B443" s="603"/>
      <c r="C443" s="603"/>
      <c r="D443" s="730"/>
      <c r="E443" s="758"/>
      <c r="F443" s="163"/>
      <c r="G443" s="494"/>
      <c r="H443" s="128"/>
      <c r="I443" s="71"/>
      <c r="J443" s="71"/>
      <c r="K443" s="381"/>
      <c r="L443" s="164"/>
      <c r="M443" s="218"/>
      <c r="N443" s="218"/>
      <c r="O443" s="497"/>
      <c r="P443" s="497"/>
      <c r="Q443" s="218"/>
      <c r="R443" s="218"/>
      <c r="S443" s="218"/>
      <c r="T443" s="182"/>
      <c r="U443" s="183"/>
      <c r="V443" s="184"/>
      <c r="W443" s="185"/>
      <c r="X443" s="185"/>
      <c r="Y443" s="170"/>
      <c r="Z443" s="170"/>
      <c r="AA443" s="170"/>
      <c r="AB443" s="237"/>
      <c r="AC443" s="20"/>
      <c r="AD443" s="206"/>
      <c r="AE443" s="206"/>
      <c r="AF443" s="704"/>
      <c r="AG443" s="70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row>
    <row r="444" spans="1:92" s="1" customFormat="1" ht="12.75">
      <c r="A444" s="759"/>
      <c r="B444" s="760"/>
      <c r="C444" s="749"/>
      <c r="D444" s="730"/>
      <c r="E444" s="758"/>
      <c r="F444" s="163"/>
      <c r="G444" s="494"/>
      <c r="H444" s="128"/>
      <c r="I444" s="71"/>
      <c r="J444" s="71"/>
      <c r="K444" s="381"/>
      <c r="L444" s="164"/>
      <c r="M444" s="218"/>
      <c r="N444" s="218"/>
      <c r="O444" s="497"/>
      <c r="P444" s="497"/>
      <c r="Q444" s="218"/>
      <c r="R444" s="218"/>
      <c r="S444" s="218"/>
      <c r="T444" s="404"/>
      <c r="U444" s="405"/>
      <c r="V444" s="11"/>
      <c r="W444" s="12"/>
      <c r="X444" s="12"/>
      <c r="Y444" s="13"/>
      <c r="Z444" s="13"/>
      <c r="AA444" s="13"/>
      <c r="AB444" s="237"/>
      <c r="AC444" s="20"/>
      <c r="AD444" s="206"/>
      <c r="AE444" s="206"/>
      <c r="AF444" s="704"/>
      <c r="AG444" s="70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row>
    <row r="445" spans="1:92" s="1" customFormat="1" ht="12.75">
      <c r="A445" s="733"/>
      <c r="B445" s="761"/>
      <c r="C445" s="749"/>
      <c r="D445" s="603"/>
      <c r="E445" s="752"/>
      <c r="F445" s="603"/>
      <c r="G445" s="753"/>
      <c r="H445" s="753"/>
      <c r="I445" s="603"/>
      <c r="J445" s="603"/>
      <c r="K445" s="754"/>
      <c r="L445" s="754"/>
      <c r="M445" s="7"/>
      <c r="N445" s="7"/>
      <c r="O445" s="7"/>
      <c r="P445" s="7"/>
      <c r="Q445" s="7"/>
      <c r="R445" s="7"/>
      <c r="S445" s="218"/>
      <c r="T445" s="9"/>
      <c r="U445" s="10"/>
      <c r="V445" s="11"/>
      <c r="W445" s="185"/>
      <c r="X445" s="185"/>
      <c r="Y445" s="170"/>
      <c r="Z445" s="170"/>
      <c r="AA445" s="170"/>
      <c r="AB445" s="237"/>
      <c r="AC445" s="20"/>
      <c r="AD445" s="206"/>
      <c r="AE445" s="206"/>
      <c r="AF445" s="704"/>
      <c r="AG445" s="70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row>
    <row r="446" spans="1:92" s="1" customFormat="1" ht="12.75">
      <c r="A446" s="730"/>
      <c r="B446" s="761"/>
      <c r="C446" s="755"/>
      <c r="D446" s="733"/>
      <c r="E446" s="758"/>
      <c r="F446" s="523"/>
      <c r="G446" s="757"/>
      <c r="H446" s="757"/>
      <c r="I446" s="762"/>
      <c r="J446" s="748"/>
      <c r="K446" s="381"/>
      <c r="L446" s="382"/>
      <c r="M446" s="763"/>
      <c r="N446" s="763"/>
      <c r="O446" s="762"/>
      <c r="P446" s="762"/>
      <c r="Q446" s="748"/>
      <c r="R446" s="763"/>
      <c r="S446" s="7"/>
      <c r="T446" s="764"/>
      <c r="U446" s="765"/>
      <c r="V446" s="184"/>
      <c r="W446" s="185"/>
      <c r="X446" s="185"/>
      <c r="Y446" s="170"/>
      <c r="Z446" s="170"/>
      <c r="AA446" s="170"/>
      <c r="AB446" s="237"/>
      <c r="AC446" s="20"/>
      <c r="AD446" s="206"/>
      <c r="AE446" s="206"/>
      <c r="AF446" s="704"/>
      <c r="AG446" s="70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row>
    <row r="447" spans="1:92" s="1" customFormat="1" ht="12.75">
      <c r="A447" s="733"/>
      <c r="B447" s="761"/>
      <c r="C447" s="755"/>
      <c r="D447" s="733"/>
      <c r="E447" s="758"/>
      <c r="F447" s="523"/>
      <c r="G447" s="757"/>
      <c r="H447" s="757"/>
      <c r="I447" s="762"/>
      <c r="J447" s="748"/>
      <c r="K447" s="381"/>
      <c r="L447" s="382"/>
      <c r="M447" s="763"/>
      <c r="N447" s="763"/>
      <c r="O447" s="762"/>
      <c r="P447" s="762"/>
      <c r="Q447" s="748"/>
      <c r="R447" s="763"/>
      <c r="S447" s="218"/>
      <c r="T447" s="766"/>
      <c r="U447" s="767"/>
      <c r="V447" s="391"/>
      <c r="W447" s="768"/>
      <c r="X447" s="768"/>
      <c r="Y447" s="370"/>
      <c r="Z447" s="370"/>
      <c r="AA447" s="13"/>
      <c r="AB447" s="237"/>
      <c r="AC447" s="20"/>
      <c r="AD447" s="206"/>
      <c r="AE447" s="206"/>
      <c r="AF447" s="704"/>
      <c r="AG447" s="70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row>
    <row r="448" spans="1:92" s="1" customFormat="1" ht="12.75">
      <c r="A448" s="733"/>
      <c r="B448" s="761"/>
      <c r="C448" s="755"/>
      <c r="D448" s="733"/>
      <c r="E448" s="758"/>
      <c r="F448" s="523"/>
      <c r="G448" s="757"/>
      <c r="H448" s="757"/>
      <c r="I448" s="762"/>
      <c r="J448" s="748"/>
      <c r="K448" s="381"/>
      <c r="L448" s="382"/>
      <c r="M448" s="763"/>
      <c r="N448" s="763"/>
      <c r="O448" s="762"/>
      <c r="P448" s="762"/>
      <c r="Q448" s="748"/>
      <c r="R448" s="763"/>
      <c r="S448" s="218"/>
      <c r="T448" s="766"/>
      <c r="U448" s="767"/>
      <c r="V448" s="391"/>
      <c r="W448" s="768"/>
      <c r="X448" s="768"/>
      <c r="Y448" s="370"/>
      <c r="Z448" s="370"/>
      <c r="AA448" s="170"/>
      <c r="AB448" s="237"/>
      <c r="AC448" s="237"/>
      <c r="AD448" s="206"/>
      <c r="AE448" s="206"/>
      <c r="AF448" s="704"/>
      <c r="AG448" s="70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row>
    <row r="449" spans="1:92" s="1" customFormat="1" ht="12.75">
      <c r="A449" s="733"/>
      <c r="B449" s="761"/>
      <c r="C449" s="755"/>
      <c r="D449" s="733"/>
      <c r="E449" s="758"/>
      <c r="F449" s="523"/>
      <c r="G449" s="757"/>
      <c r="H449" s="757"/>
      <c r="I449" s="762"/>
      <c r="J449" s="748"/>
      <c r="K449" s="381"/>
      <c r="L449" s="382"/>
      <c r="M449" s="763"/>
      <c r="N449" s="763"/>
      <c r="O449" s="762"/>
      <c r="P449" s="762"/>
      <c r="Q449" s="748"/>
      <c r="R449" s="763"/>
      <c r="S449" s="34"/>
      <c r="T449" s="766"/>
      <c r="U449" s="767"/>
      <c r="V449" s="391"/>
      <c r="W449" s="768"/>
      <c r="X449" s="768"/>
      <c r="Y449" s="370"/>
      <c r="Z449" s="370"/>
      <c r="AA449" s="170"/>
      <c r="AB449" s="19"/>
      <c r="AC449" s="237"/>
      <c r="AD449" s="206"/>
      <c r="AE449" s="206"/>
      <c r="AF449" s="704"/>
      <c r="AG449" s="70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row>
    <row r="450" spans="1:92" s="1" customFormat="1" ht="12.75">
      <c r="A450" s="733"/>
      <c r="B450" s="761"/>
      <c r="C450" s="755"/>
      <c r="D450" s="733"/>
      <c r="E450" s="758"/>
      <c r="F450" s="523"/>
      <c r="G450" s="757"/>
      <c r="H450" s="757"/>
      <c r="I450" s="762"/>
      <c r="J450" s="748"/>
      <c r="K450" s="381"/>
      <c r="L450" s="382"/>
      <c r="M450" s="763"/>
      <c r="N450" s="763"/>
      <c r="O450" s="762"/>
      <c r="P450" s="762"/>
      <c r="Q450" s="748"/>
      <c r="R450" s="763"/>
      <c r="S450" s="218"/>
      <c r="T450" s="766"/>
      <c r="U450" s="767"/>
      <c r="V450" s="391"/>
      <c r="W450" s="768"/>
      <c r="X450" s="768"/>
      <c r="Y450" s="370"/>
      <c r="Z450" s="370"/>
      <c r="AA450" s="370"/>
      <c r="AB450" s="516"/>
      <c r="AC450" s="237"/>
      <c r="AD450" s="132"/>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row>
    <row r="451" spans="1:92" s="1" customFormat="1" ht="12.75">
      <c r="A451" s="733"/>
      <c r="B451" s="761"/>
      <c r="C451" s="755"/>
      <c r="D451" s="733"/>
      <c r="E451" s="758"/>
      <c r="F451" s="523"/>
      <c r="G451" s="757"/>
      <c r="H451" s="757"/>
      <c r="I451" s="762"/>
      <c r="J451" s="748"/>
      <c r="K451" s="381"/>
      <c r="L451" s="382"/>
      <c r="M451" s="763"/>
      <c r="N451" s="763"/>
      <c r="O451" s="762"/>
      <c r="P451" s="762"/>
      <c r="Q451" s="748"/>
      <c r="R451" s="763"/>
      <c r="S451" s="763"/>
      <c r="T451" s="766"/>
      <c r="U451" s="767"/>
      <c r="V451" s="391"/>
      <c r="W451" s="768"/>
      <c r="X451" s="768"/>
      <c r="Y451" s="370"/>
      <c r="Z451" s="370"/>
      <c r="AA451" s="370"/>
      <c r="AB451" s="516"/>
      <c r="AC451" s="237"/>
      <c r="AD451" s="20"/>
      <c r="AE451" s="132"/>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row>
    <row r="452" spans="1:92" s="1" customFormat="1" ht="12.75">
      <c r="A452" s="733"/>
      <c r="B452" s="761"/>
      <c r="C452" s="755"/>
      <c r="D452" s="733"/>
      <c r="E452" s="758"/>
      <c r="F452" s="523"/>
      <c r="G452" s="757"/>
      <c r="H452" s="757"/>
      <c r="I452" s="762"/>
      <c r="J452" s="748"/>
      <c r="K452" s="381"/>
      <c r="L452" s="382"/>
      <c r="M452" s="763"/>
      <c r="N452" s="763"/>
      <c r="O452" s="762"/>
      <c r="P452" s="762"/>
      <c r="Q452" s="748"/>
      <c r="R452" s="763"/>
      <c r="S452" s="763"/>
      <c r="T452" s="766"/>
      <c r="U452" s="767"/>
      <c r="V452" s="391"/>
      <c r="W452" s="768"/>
      <c r="X452" s="768"/>
      <c r="Y452" s="370"/>
      <c r="Z452" s="370"/>
      <c r="AA452" s="370"/>
      <c r="AB452" s="516"/>
      <c r="AC452" s="237"/>
      <c r="AD452" s="20"/>
      <c r="AE452" s="132"/>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row>
    <row r="453" spans="1:92" s="1" customFormat="1" ht="12.75">
      <c r="A453" s="733"/>
      <c r="B453" s="761"/>
      <c r="C453" s="755"/>
      <c r="D453" s="733"/>
      <c r="E453" s="758"/>
      <c r="F453" s="523"/>
      <c r="G453" s="757"/>
      <c r="H453" s="757"/>
      <c r="I453" s="762"/>
      <c r="J453" s="748"/>
      <c r="K453" s="381"/>
      <c r="L453" s="382"/>
      <c r="M453" s="763"/>
      <c r="N453" s="763"/>
      <c r="O453" s="762"/>
      <c r="P453" s="762"/>
      <c r="Q453" s="748"/>
      <c r="R453" s="763"/>
      <c r="S453" s="763"/>
      <c r="T453" s="766"/>
      <c r="U453" s="767"/>
      <c r="V453" s="391"/>
      <c r="W453" s="768"/>
      <c r="X453" s="768"/>
      <c r="Y453" s="370"/>
      <c r="Z453" s="370"/>
      <c r="AA453" s="370"/>
      <c r="AB453" s="516"/>
      <c r="AC453" s="237"/>
      <c r="AD453" s="20"/>
      <c r="AE453" s="132"/>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row>
    <row r="454" spans="1:92" s="1" customFormat="1" ht="12.75">
      <c r="A454" s="733"/>
      <c r="B454" s="761"/>
      <c r="C454" s="755"/>
      <c r="D454" s="733"/>
      <c r="E454" s="758"/>
      <c r="F454" s="523"/>
      <c r="G454" s="757"/>
      <c r="H454" s="757"/>
      <c r="I454" s="762"/>
      <c r="J454" s="748"/>
      <c r="K454" s="381"/>
      <c r="L454" s="382"/>
      <c r="M454" s="763"/>
      <c r="N454" s="763"/>
      <c r="O454" s="762"/>
      <c r="P454" s="762"/>
      <c r="Q454" s="748"/>
      <c r="R454" s="763"/>
      <c r="S454" s="763"/>
      <c r="T454" s="766"/>
      <c r="U454" s="767"/>
      <c r="V454" s="391"/>
      <c r="W454" s="768"/>
      <c r="X454" s="768"/>
      <c r="Y454" s="370"/>
      <c r="Z454" s="370"/>
      <c r="AA454" s="370"/>
      <c r="AB454" s="516"/>
      <c r="AC454" s="237"/>
      <c r="AD454" s="20"/>
      <c r="AE454" s="769"/>
      <c r="AF454" s="770"/>
      <c r="AG454" s="770"/>
      <c r="AH454" s="770"/>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row>
    <row r="455" spans="1:92" s="1" customFormat="1" ht="12.75">
      <c r="A455" s="733"/>
      <c r="B455" s="761"/>
      <c r="C455" s="755"/>
      <c r="D455" s="733"/>
      <c r="E455" s="758"/>
      <c r="F455" s="523"/>
      <c r="G455" s="757"/>
      <c r="H455" s="757"/>
      <c r="I455" s="762"/>
      <c r="J455" s="748"/>
      <c r="K455" s="381"/>
      <c r="L455" s="382"/>
      <c r="M455" s="763"/>
      <c r="N455" s="763"/>
      <c r="O455" s="762"/>
      <c r="P455" s="762"/>
      <c r="Q455" s="748"/>
      <c r="R455" s="763"/>
      <c r="S455" s="771"/>
      <c r="T455" s="766"/>
      <c r="U455" s="767"/>
      <c r="V455" s="391"/>
      <c r="W455" s="768"/>
      <c r="X455" s="768"/>
      <c r="Y455" s="370"/>
      <c r="Z455" s="370"/>
      <c r="AA455" s="370"/>
      <c r="AB455" s="516"/>
      <c r="AC455" s="237"/>
      <c r="AD455" s="20"/>
      <c r="AE455" s="772"/>
      <c r="AF455" s="773"/>
      <c r="AG455" s="773"/>
      <c r="AH455" s="773"/>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row>
    <row r="456" spans="1:92" s="1" customFormat="1" ht="12.75">
      <c r="A456" s="733"/>
      <c r="B456" s="761"/>
      <c r="C456" s="755"/>
      <c r="D456" s="733"/>
      <c r="E456" s="758"/>
      <c r="F456" s="523"/>
      <c r="G456" s="757"/>
      <c r="H456" s="757"/>
      <c r="I456" s="762"/>
      <c r="J456" s="748"/>
      <c r="K456" s="381"/>
      <c r="L456" s="382"/>
      <c r="M456" s="763"/>
      <c r="N456" s="763"/>
      <c r="O456" s="762"/>
      <c r="P456" s="762"/>
      <c r="Q456" s="748"/>
      <c r="R456" s="763"/>
      <c r="S456" s="771"/>
      <c r="T456" s="766"/>
      <c r="U456" s="767"/>
      <c r="V456" s="391"/>
      <c r="W456" s="768"/>
      <c r="X456" s="768"/>
      <c r="Y456" s="370"/>
      <c r="Z456" s="370"/>
      <c r="AA456" s="370"/>
      <c r="AB456" s="516"/>
      <c r="AC456" s="237"/>
      <c r="AD456" s="774" t="s">
        <v>1651</v>
      </c>
      <c r="AE456" s="775" t="s">
        <v>1652</v>
      </c>
      <c r="AF456" s="775" t="s">
        <v>1653</v>
      </c>
      <c r="AG456" s="776" t="s">
        <v>1654</v>
      </c>
      <c r="AH456" s="776"/>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row>
    <row r="457" spans="1:92" s="1" customFormat="1" ht="12.75">
      <c r="A457" s="733"/>
      <c r="B457" s="761"/>
      <c r="C457" s="755"/>
      <c r="D457" s="733"/>
      <c r="E457" s="758"/>
      <c r="F457" s="523"/>
      <c r="G457" s="757"/>
      <c r="H457" s="757"/>
      <c r="I457" s="762"/>
      <c r="J457" s="748"/>
      <c r="K457" s="381"/>
      <c r="L457" s="382"/>
      <c r="M457" s="763"/>
      <c r="N457" s="763"/>
      <c r="O457" s="762"/>
      <c r="P457" s="762"/>
      <c r="Q457" s="748"/>
      <c r="R457" s="763"/>
      <c r="S457" s="771"/>
      <c r="T457" s="766"/>
      <c r="U457" s="767"/>
      <c r="V457" s="391"/>
      <c r="W457" s="768"/>
      <c r="X457" s="768"/>
      <c r="Y457" s="370"/>
      <c r="Z457" s="370"/>
      <c r="AA457" s="370"/>
      <c r="AB457" s="516"/>
      <c r="AC457" s="237"/>
      <c r="AD457" s="777" t="s">
        <v>1655</v>
      </c>
      <c r="AE457" s="778" t="s">
        <v>1656</v>
      </c>
      <c r="AF457" s="778" t="s">
        <v>1657</v>
      </c>
      <c r="AG457" s="779" t="s">
        <v>1658</v>
      </c>
      <c r="AH457" s="780" t="s">
        <v>1659</v>
      </c>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row>
    <row r="458" spans="1:92" s="1" customFormat="1" ht="21" customHeight="1">
      <c r="A458" s="733"/>
      <c r="B458" s="761"/>
      <c r="C458" s="755"/>
      <c r="D458" s="733"/>
      <c r="E458" s="758"/>
      <c r="F458" s="523"/>
      <c r="G458" s="757"/>
      <c r="H458" s="757"/>
      <c r="I458" s="762"/>
      <c r="J458" s="748"/>
      <c r="K458" s="381"/>
      <c r="L458" s="382"/>
      <c r="M458" s="763"/>
      <c r="N458" s="763"/>
      <c r="O458" s="762"/>
      <c r="P458" s="762"/>
      <c r="Q458" s="748"/>
      <c r="R458" s="763"/>
      <c r="S458" s="771"/>
      <c r="T458" s="766"/>
      <c r="U458" s="767"/>
      <c r="V458" s="391"/>
      <c r="W458" s="768"/>
      <c r="X458" s="768"/>
      <c r="Y458" s="370"/>
      <c r="Z458" s="370"/>
      <c r="AA458" s="370"/>
      <c r="AB458" s="516"/>
      <c r="AC458" s="237"/>
      <c r="AD458" s="781" t="s">
        <v>1660</v>
      </c>
      <c r="AE458" s="782" t="s">
        <v>1661</v>
      </c>
      <c r="AF458" s="779" t="s">
        <v>1662</v>
      </c>
      <c r="AG458" s="783">
        <f>VFEA*19.6%</f>
        <v>5.146960000000001</v>
      </c>
      <c r="AH458" s="784">
        <f>VFEA*13%</f>
        <v>3.4138</v>
      </c>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row>
    <row r="459" spans="1:92" s="1" customFormat="1" ht="12.75">
      <c r="A459" s="733"/>
      <c r="B459" s="761"/>
      <c r="C459" s="755"/>
      <c r="D459" s="733"/>
      <c r="E459" s="758"/>
      <c r="F459" s="523"/>
      <c r="G459" s="757"/>
      <c r="H459" s="757"/>
      <c r="I459" s="762"/>
      <c r="J459" s="748"/>
      <c r="K459" s="381"/>
      <c r="L459" s="382"/>
      <c r="M459" s="763"/>
      <c r="N459" s="763"/>
      <c r="O459" s="762"/>
      <c r="P459" s="762"/>
      <c r="Q459" s="748"/>
      <c r="R459" s="763"/>
      <c r="S459" s="771"/>
      <c r="T459" s="766"/>
      <c r="U459" s="767"/>
      <c r="V459" s="391"/>
      <c r="W459" s="768"/>
      <c r="X459" s="768"/>
      <c r="Y459" s="370"/>
      <c r="Z459" s="370"/>
      <c r="AA459" s="370"/>
      <c r="AB459" s="516"/>
      <c r="AC459" s="237"/>
      <c r="AD459" s="785" t="s">
        <v>1663</v>
      </c>
      <c r="AE459" s="775" t="s">
        <v>1664</v>
      </c>
      <c r="AF459" s="775" t="s">
        <v>1665</v>
      </c>
      <c r="AG459" s="774">
        <f>VFCB*19.6%</f>
        <v>6.13284</v>
      </c>
      <c r="AH459" s="786">
        <f>VFCB*13%</f>
        <v>4.0677</v>
      </c>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row>
    <row r="460" spans="1:92" s="1" customFormat="1" ht="12.75">
      <c r="A460" s="733"/>
      <c r="B460" s="761"/>
      <c r="C460" s="755"/>
      <c r="D460" s="733"/>
      <c r="E460" s="758"/>
      <c r="F460" s="523"/>
      <c r="G460" s="757"/>
      <c r="H460" s="757"/>
      <c r="I460" s="762"/>
      <c r="J460" s="748"/>
      <c r="K460" s="381"/>
      <c r="L460" s="382"/>
      <c r="M460" s="763"/>
      <c r="N460" s="763"/>
      <c r="O460" s="762"/>
      <c r="P460" s="762"/>
      <c r="Q460" s="748"/>
      <c r="R460" s="763"/>
      <c r="S460" s="771"/>
      <c r="T460" s="766"/>
      <c r="U460" s="767"/>
      <c r="V460" s="391"/>
      <c r="W460" s="768"/>
      <c r="X460" s="768"/>
      <c r="Y460" s="370"/>
      <c r="Z460" s="370"/>
      <c r="AA460" s="370"/>
      <c r="AB460" s="516"/>
      <c r="AC460" s="237"/>
      <c r="AD460" s="787"/>
      <c r="AE460" s="778" t="s">
        <v>1666</v>
      </c>
      <c r="AF460" s="788"/>
      <c r="AG460" s="777"/>
      <c r="AH460" s="789"/>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row>
    <row r="461" spans="1:92" s="1" customFormat="1" ht="12.75">
      <c r="A461" s="733"/>
      <c r="B461" s="761"/>
      <c r="C461" s="755"/>
      <c r="D461" s="733"/>
      <c r="E461" s="758"/>
      <c r="F461" s="523"/>
      <c r="G461" s="757"/>
      <c r="H461" s="757"/>
      <c r="I461" s="762"/>
      <c r="J461" s="748"/>
      <c r="K461" s="381"/>
      <c r="L461" s="382"/>
      <c r="M461" s="763"/>
      <c r="N461" s="763"/>
      <c r="O461" s="762"/>
      <c r="P461" s="762"/>
      <c r="Q461" s="748"/>
      <c r="R461" s="763"/>
      <c r="S461" s="771"/>
      <c r="T461" s="766"/>
      <c r="U461" s="767"/>
      <c r="V461" s="391"/>
      <c r="W461" s="768"/>
      <c r="X461" s="768"/>
      <c r="Y461" s="370"/>
      <c r="Z461" s="370"/>
      <c r="AA461" s="370"/>
      <c r="AB461" s="516"/>
      <c r="AC461" s="237"/>
      <c r="AD461" s="785" t="s">
        <v>1667</v>
      </c>
      <c r="AE461" s="775" t="s">
        <v>1668</v>
      </c>
      <c r="AF461" s="790"/>
      <c r="AG461" s="774"/>
      <c r="AH461" s="786"/>
      <c r="AI461" s="398"/>
      <c r="AJ461" s="398"/>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row>
    <row r="462" spans="1:92" s="1" customFormat="1" ht="12.75">
      <c r="A462" s="733"/>
      <c r="B462" s="761"/>
      <c r="C462" s="755"/>
      <c r="D462" s="733"/>
      <c r="E462" s="758"/>
      <c r="F462" s="523"/>
      <c r="G462" s="757"/>
      <c r="H462" s="757"/>
      <c r="I462" s="762"/>
      <c r="J462" s="748"/>
      <c r="K462" s="381"/>
      <c r="L462" s="382"/>
      <c r="M462" s="763"/>
      <c r="N462" s="763"/>
      <c r="O462" s="762"/>
      <c r="P462" s="762"/>
      <c r="Q462" s="748"/>
      <c r="R462" s="763"/>
      <c r="S462" s="771"/>
      <c r="T462" s="766"/>
      <c r="U462" s="767"/>
      <c r="V462" s="391"/>
      <c r="W462" s="768"/>
      <c r="X462" s="768"/>
      <c r="Y462" s="370"/>
      <c r="Z462" s="370"/>
      <c r="AA462" s="370"/>
      <c r="AB462" s="516"/>
      <c r="AC462" s="237"/>
      <c r="AD462" s="791" t="s">
        <v>1669</v>
      </c>
      <c r="AE462" s="792" t="s">
        <v>1670</v>
      </c>
      <c r="AF462" s="792" t="s">
        <v>1671</v>
      </c>
      <c r="AG462" s="793">
        <f>vfspb*19.6%</f>
        <v>5.146960000000001</v>
      </c>
      <c r="AH462" s="794">
        <f>vfspb*13%</f>
        <v>3.4138</v>
      </c>
      <c r="AI462" s="398"/>
      <c r="AJ462" s="398"/>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row>
    <row r="463" spans="1:92" s="1" customFormat="1" ht="12.75">
      <c r="A463" s="733"/>
      <c r="B463" s="761"/>
      <c r="C463" s="755"/>
      <c r="D463" s="733"/>
      <c r="E463" s="758"/>
      <c r="F463" s="523"/>
      <c r="G463" s="757"/>
      <c r="H463" s="757"/>
      <c r="I463" s="762"/>
      <c r="J463" s="748"/>
      <c r="K463" s="381"/>
      <c r="L463" s="382"/>
      <c r="M463" s="763"/>
      <c r="N463" s="763"/>
      <c r="O463" s="762"/>
      <c r="P463" s="762"/>
      <c r="Q463" s="748"/>
      <c r="R463" s="763"/>
      <c r="S463" s="771"/>
      <c r="T463" s="766"/>
      <c r="U463" s="767"/>
      <c r="V463" s="391"/>
      <c r="W463" s="768"/>
      <c r="X463" s="768"/>
      <c r="Y463" s="370"/>
      <c r="Z463" s="370"/>
      <c r="AA463" s="370"/>
      <c r="AB463" s="516"/>
      <c r="AC463" s="237"/>
      <c r="AD463" s="787" t="s">
        <v>1672</v>
      </c>
      <c r="AE463" s="795"/>
      <c r="AF463" s="788"/>
      <c r="AG463" s="777"/>
      <c r="AH463" s="789"/>
      <c r="AI463" s="398"/>
      <c r="AJ463" s="398"/>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row>
    <row r="464" spans="1:92" s="1" customFormat="1" ht="12.75">
      <c r="A464" s="733"/>
      <c r="B464" s="761"/>
      <c r="C464" s="755"/>
      <c r="D464" s="733"/>
      <c r="E464" s="758"/>
      <c r="F464" s="523"/>
      <c r="G464" s="757"/>
      <c r="H464" s="757"/>
      <c r="I464" s="762"/>
      <c r="J464" s="748"/>
      <c r="K464" s="381"/>
      <c r="L464" s="382"/>
      <c r="M464" s="763"/>
      <c r="N464" s="763"/>
      <c r="O464" s="762"/>
      <c r="P464" s="762"/>
      <c r="Q464" s="748"/>
      <c r="R464" s="763"/>
      <c r="S464" s="771"/>
      <c r="T464" s="766"/>
      <c r="U464" s="767"/>
      <c r="V464" s="391"/>
      <c r="W464" s="768"/>
      <c r="X464" s="768"/>
      <c r="Y464" s="370"/>
      <c r="Z464" s="370"/>
      <c r="AA464" s="370"/>
      <c r="AB464" s="516"/>
      <c r="AC464" s="237"/>
      <c r="AD464" s="785" t="s">
        <v>1673</v>
      </c>
      <c r="AE464" s="775" t="s">
        <v>1674</v>
      </c>
      <c r="AF464" s="790"/>
      <c r="AG464" s="774"/>
      <c r="AH464" s="786"/>
      <c r="AI464" s="398"/>
      <c r="AJ464" s="398"/>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row>
    <row r="465" spans="1:92" s="1" customFormat="1" ht="12.75">
      <c r="A465" s="733"/>
      <c r="B465" s="761"/>
      <c r="C465" s="755"/>
      <c r="D465" s="733"/>
      <c r="E465" s="758"/>
      <c r="F465" s="523"/>
      <c r="G465" s="757"/>
      <c r="H465" s="757"/>
      <c r="I465" s="762"/>
      <c r="J465" s="748"/>
      <c r="K465" s="381"/>
      <c r="L465" s="382"/>
      <c r="M465" s="763"/>
      <c r="N465" s="763"/>
      <c r="O465" s="762"/>
      <c r="P465" s="762"/>
      <c r="Q465" s="748"/>
      <c r="R465" s="763"/>
      <c r="S465" s="771"/>
      <c r="T465" s="766"/>
      <c r="U465" s="767"/>
      <c r="V465" s="391"/>
      <c r="W465" s="768"/>
      <c r="X465" s="768"/>
      <c r="Y465" s="370"/>
      <c r="Z465" s="370"/>
      <c r="AA465" s="370"/>
      <c r="AB465" s="516"/>
      <c r="AC465" s="237"/>
      <c r="AD465" s="791" t="s">
        <v>1675</v>
      </c>
      <c r="AE465" s="792"/>
      <c r="AF465" s="792" t="s">
        <v>1676</v>
      </c>
      <c r="AG465" s="793">
        <f>VFARS*19.6%</f>
        <v>5.146960000000001</v>
      </c>
      <c r="AH465" s="794">
        <f>VFARS*13%</f>
        <v>3.4138</v>
      </c>
      <c r="AI465" s="398"/>
      <c r="AJ465" s="398"/>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row>
    <row r="466" spans="1:92" s="1" customFormat="1" ht="12.75">
      <c r="A466" s="733"/>
      <c r="B466" s="761"/>
      <c r="C466" s="755"/>
      <c r="D466" s="733"/>
      <c r="E466" s="758"/>
      <c r="F466" s="523"/>
      <c r="G466" s="757"/>
      <c r="H466" s="757"/>
      <c r="I466" s="762"/>
      <c r="J466" s="748"/>
      <c r="K466" s="381"/>
      <c r="L466" s="382"/>
      <c r="M466" s="763"/>
      <c r="N466" s="763"/>
      <c r="O466" s="762"/>
      <c r="P466" s="762"/>
      <c r="Q466" s="748"/>
      <c r="R466" s="763"/>
      <c r="S466" s="771"/>
      <c r="T466" s="766"/>
      <c r="U466" s="767"/>
      <c r="V466" s="391"/>
      <c r="W466" s="768"/>
      <c r="X466" s="768"/>
      <c r="Y466" s="370"/>
      <c r="Z466" s="370"/>
      <c r="AA466" s="370"/>
      <c r="AB466" s="516"/>
      <c r="AC466" s="237"/>
      <c r="AD466" s="791" t="s">
        <v>1677</v>
      </c>
      <c r="AE466" s="792"/>
      <c r="AF466" s="796"/>
      <c r="AG466" s="793"/>
      <c r="AH466" s="794"/>
      <c r="AI466" s="398"/>
      <c r="AJ466" s="398"/>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row>
    <row r="467" spans="1:92" s="1" customFormat="1" ht="12.75">
      <c r="A467" s="733"/>
      <c r="B467" s="761"/>
      <c r="C467" s="755"/>
      <c r="D467" s="733"/>
      <c r="E467" s="758"/>
      <c r="F467" s="523"/>
      <c r="G467" s="757"/>
      <c r="H467" s="757"/>
      <c r="I467" s="762"/>
      <c r="J467" s="748"/>
      <c r="K467" s="381"/>
      <c r="L467" s="382"/>
      <c r="M467" s="763"/>
      <c r="N467" s="763"/>
      <c r="O467" s="762"/>
      <c r="P467" s="762"/>
      <c r="Q467" s="748"/>
      <c r="R467" s="763"/>
      <c r="S467" s="771"/>
      <c r="T467" s="766"/>
      <c r="U467" s="767"/>
      <c r="V467" s="391"/>
      <c r="W467" s="768"/>
      <c r="X467" s="768"/>
      <c r="Y467" s="370"/>
      <c r="Z467" s="370"/>
      <c r="AA467" s="370"/>
      <c r="AB467" s="516"/>
      <c r="AC467" s="237"/>
      <c r="AD467" s="787"/>
      <c r="AE467" s="778"/>
      <c r="AF467" s="788"/>
      <c r="AG467" s="777"/>
      <c r="AH467" s="789"/>
      <c r="AI467" s="398"/>
      <c r="AJ467" s="398"/>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row>
    <row r="468" spans="1:92" s="1" customFormat="1" ht="12.75">
      <c r="A468" s="733"/>
      <c r="B468" s="761"/>
      <c r="C468" s="755"/>
      <c r="D468" s="733"/>
      <c r="E468" s="758"/>
      <c r="F468" s="523"/>
      <c r="G468" s="757"/>
      <c r="H468" s="757"/>
      <c r="I468" s="762"/>
      <c r="J468" s="748"/>
      <c r="K468" s="381"/>
      <c r="L468" s="382"/>
      <c r="M468" s="763"/>
      <c r="N468" s="763"/>
      <c r="O468" s="762"/>
      <c r="P468" s="762"/>
      <c r="Q468" s="748"/>
      <c r="R468" s="763"/>
      <c r="S468" s="771"/>
      <c r="T468" s="766"/>
      <c r="U468" s="767"/>
      <c r="V468" s="391"/>
      <c r="W468" s="768"/>
      <c r="X468" s="768"/>
      <c r="Y468" s="370"/>
      <c r="Z468" s="370"/>
      <c r="AA468" s="370"/>
      <c r="AB468" s="516"/>
      <c r="AC468" s="237"/>
      <c r="AD468" s="785" t="s">
        <v>1678</v>
      </c>
      <c r="AE468" s="775" t="s">
        <v>1679</v>
      </c>
      <c r="AF468" s="790"/>
      <c r="AG468" s="774"/>
      <c r="AH468" s="786"/>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row>
    <row r="469" spans="1:92" s="1" customFormat="1" ht="12.75">
      <c r="A469" s="733"/>
      <c r="B469" s="761"/>
      <c r="C469" s="755"/>
      <c r="D469" s="733"/>
      <c r="E469" s="758"/>
      <c r="F469" s="523"/>
      <c r="G469" s="757"/>
      <c r="H469" s="757"/>
      <c r="I469" s="762"/>
      <c r="J469" s="748"/>
      <c r="K469" s="381"/>
      <c r="L469" s="382"/>
      <c r="M469" s="763"/>
      <c r="N469" s="763"/>
      <c r="O469" s="762"/>
      <c r="P469" s="762"/>
      <c r="Q469" s="748"/>
      <c r="R469" s="763"/>
      <c r="S469" s="771"/>
      <c r="T469" s="766"/>
      <c r="U469" s="767"/>
      <c r="V469" s="391"/>
      <c r="W469" s="768"/>
      <c r="X469" s="768"/>
      <c r="Y469" s="370"/>
      <c r="Z469" s="370"/>
      <c r="AA469" s="370"/>
      <c r="AB469" s="516"/>
      <c r="AC469" s="237"/>
      <c r="AD469" s="791" t="s">
        <v>1680</v>
      </c>
      <c r="AE469" s="792" t="s">
        <v>1681</v>
      </c>
      <c r="AF469" s="792" t="s">
        <v>1682</v>
      </c>
      <c r="AG469" s="793">
        <f>VFARS*19.6%</f>
        <v>5.146960000000001</v>
      </c>
      <c r="AH469" s="794">
        <f>VFARS*13%</f>
        <v>3.4138</v>
      </c>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row>
    <row r="470" spans="1:92" s="1" customFormat="1" ht="12.75">
      <c r="A470" s="733"/>
      <c r="B470" s="761"/>
      <c r="C470" s="755"/>
      <c r="D470" s="733"/>
      <c r="E470" s="758"/>
      <c r="F470" s="523"/>
      <c r="G470" s="757"/>
      <c r="H470" s="757"/>
      <c r="I470" s="762"/>
      <c r="J470" s="748"/>
      <c r="K470" s="381"/>
      <c r="L470" s="382"/>
      <c r="M470" s="763"/>
      <c r="N470" s="763"/>
      <c r="O470" s="762"/>
      <c r="P470" s="762"/>
      <c r="Q470" s="748"/>
      <c r="R470" s="763"/>
      <c r="S470" s="771"/>
      <c r="T470" s="766"/>
      <c r="U470" s="767"/>
      <c r="V470" s="391"/>
      <c r="W470" s="768"/>
      <c r="X470" s="768"/>
      <c r="Y470" s="370"/>
      <c r="Z470" s="370"/>
      <c r="AA470" s="370"/>
      <c r="AB470" s="516"/>
      <c r="AC470" s="237"/>
      <c r="AD470" s="791" t="s">
        <v>1683</v>
      </c>
      <c r="AE470" s="792" t="s">
        <v>1684</v>
      </c>
      <c r="AF470" s="792"/>
      <c r="AG470" s="793"/>
      <c r="AH470" s="79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row>
    <row r="471" spans="1:92" s="1" customFormat="1" ht="12.75">
      <c r="A471" s="733"/>
      <c r="B471" s="761"/>
      <c r="C471" s="755"/>
      <c r="D471" s="733"/>
      <c r="E471" s="758"/>
      <c r="F471" s="523"/>
      <c r="G471" s="757"/>
      <c r="H471" s="757"/>
      <c r="I471" s="762"/>
      <c r="J471" s="748"/>
      <c r="K471" s="381"/>
      <c r="L471" s="382"/>
      <c r="M471" s="763"/>
      <c r="N471" s="763"/>
      <c r="O471" s="762"/>
      <c r="P471" s="762"/>
      <c r="Q471" s="748"/>
      <c r="R471" s="763"/>
      <c r="S471" s="771"/>
      <c r="T471" s="766"/>
      <c r="U471" s="767"/>
      <c r="V471" s="391"/>
      <c r="W471" s="768"/>
      <c r="X471" s="768"/>
      <c r="Y471" s="370"/>
      <c r="Z471" s="370"/>
      <c r="AA471" s="370"/>
      <c r="AB471" s="516"/>
      <c r="AC471" s="237"/>
      <c r="AD471" s="787"/>
      <c r="AE471" s="778" t="s">
        <v>1685</v>
      </c>
      <c r="AF471" s="778"/>
      <c r="AG471" s="777"/>
      <c r="AH471" s="789"/>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row>
    <row r="472" spans="1:92" s="1" customFormat="1" ht="12.75">
      <c r="A472" s="733"/>
      <c r="B472" s="761"/>
      <c r="C472" s="755"/>
      <c r="D472" s="733"/>
      <c r="E472" s="758"/>
      <c r="F472" s="523"/>
      <c r="G472" s="757"/>
      <c r="H472" s="757"/>
      <c r="I472" s="762"/>
      <c r="J472" s="748"/>
      <c r="K472" s="381"/>
      <c r="L472" s="382"/>
      <c r="M472" s="763"/>
      <c r="N472" s="763"/>
      <c r="O472" s="762"/>
      <c r="P472" s="762"/>
      <c r="Q472" s="748"/>
      <c r="R472" s="763"/>
      <c r="S472" s="771"/>
      <c r="T472" s="766"/>
      <c r="U472" s="767"/>
      <c r="V472" s="391"/>
      <c r="W472" s="768"/>
      <c r="X472" s="768"/>
      <c r="Y472" s="370"/>
      <c r="Z472" s="370"/>
      <c r="AA472" s="370"/>
      <c r="AB472" s="516"/>
      <c r="AC472" s="237"/>
      <c r="AD472" s="785" t="s">
        <v>1686</v>
      </c>
      <c r="AE472" s="775" t="s">
        <v>1687</v>
      </c>
      <c r="AF472" s="775" t="s">
        <v>1688</v>
      </c>
      <c r="AG472" s="774">
        <f>VFGO*19.6%</f>
        <v>6.27984</v>
      </c>
      <c r="AH472" s="786">
        <f>VFGO*13%</f>
        <v>4.1652000000000005</v>
      </c>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row>
    <row r="473" spans="1:92" s="1" customFormat="1" ht="12.75">
      <c r="A473" s="733"/>
      <c r="B473" s="761"/>
      <c r="C473" s="755"/>
      <c r="D473" s="733"/>
      <c r="E473" s="758"/>
      <c r="F473" s="523"/>
      <c r="G473" s="757"/>
      <c r="H473" s="757"/>
      <c r="I473" s="762"/>
      <c r="J473" s="748"/>
      <c r="K473" s="381"/>
      <c r="L473" s="382"/>
      <c r="M473" s="763"/>
      <c r="N473" s="763"/>
      <c r="O473" s="762"/>
      <c r="P473" s="762"/>
      <c r="Q473" s="748"/>
      <c r="R473" s="763"/>
      <c r="S473" s="771"/>
      <c r="T473" s="766"/>
      <c r="U473" s="767"/>
      <c r="V473" s="391"/>
      <c r="W473" s="768"/>
      <c r="X473" s="768"/>
      <c r="Y473" s="370"/>
      <c r="Z473" s="370"/>
      <c r="AA473" s="370"/>
      <c r="AB473" s="516"/>
      <c r="AC473" s="237"/>
      <c r="AD473" s="787"/>
      <c r="AE473" s="778" t="s">
        <v>1689</v>
      </c>
      <c r="AF473" s="788"/>
      <c r="AG473" s="777"/>
      <c r="AH473" s="789"/>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row>
    <row r="474" spans="1:92" s="1" customFormat="1" ht="12.75">
      <c r="A474" s="733"/>
      <c r="B474" s="761"/>
      <c r="C474" s="755"/>
      <c r="D474" s="733"/>
      <c r="E474" s="758"/>
      <c r="F474" s="523"/>
      <c r="G474" s="757"/>
      <c r="H474" s="757"/>
      <c r="I474" s="762"/>
      <c r="J474" s="748"/>
      <c r="K474" s="381"/>
      <c r="L474" s="382"/>
      <c r="M474" s="763"/>
      <c r="N474" s="763"/>
      <c r="O474" s="762"/>
      <c r="P474" s="762"/>
      <c r="Q474" s="748"/>
      <c r="R474" s="763"/>
      <c r="S474" s="771"/>
      <c r="T474" s="766"/>
      <c r="U474" s="767"/>
      <c r="V474" s="391"/>
      <c r="W474" s="768"/>
      <c r="X474" s="768"/>
      <c r="Y474" s="370"/>
      <c r="Z474" s="370"/>
      <c r="AA474" s="370"/>
      <c r="AB474" s="516"/>
      <c r="AC474" s="237"/>
      <c r="AD474" s="785" t="s">
        <v>1690</v>
      </c>
      <c r="AE474" s="775" t="s">
        <v>1691</v>
      </c>
      <c r="AF474" s="775" t="s">
        <v>1692</v>
      </c>
      <c r="AG474" s="774">
        <f>VFFOD*19.6%</f>
        <v>5.8212</v>
      </c>
      <c r="AH474" s="786">
        <f>VFFOD*13%</f>
        <v>3.861</v>
      </c>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row>
    <row r="475" spans="1:92" s="1" customFormat="1" ht="12.75">
      <c r="A475" s="733"/>
      <c r="B475" s="761"/>
      <c r="C475" s="755"/>
      <c r="D475" s="733"/>
      <c r="E475" s="758"/>
      <c r="F475" s="523"/>
      <c r="G475" s="757"/>
      <c r="H475" s="757"/>
      <c r="I475" s="762"/>
      <c r="J475" s="748"/>
      <c r="K475" s="381"/>
      <c r="L475" s="382"/>
      <c r="M475" s="763"/>
      <c r="N475" s="763"/>
      <c r="O475" s="762"/>
      <c r="P475" s="762"/>
      <c r="Q475" s="748"/>
      <c r="R475" s="763"/>
      <c r="S475" s="771"/>
      <c r="T475" s="766"/>
      <c r="U475" s="767"/>
      <c r="V475" s="391"/>
      <c r="W475" s="768"/>
      <c r="X475" s="768"/>
      <c r="Y475" s="370"/>
      <c r="Z475" s="370"/>
      <c r="AA475" s="370"/>
      <c r="AB475" s="516"/>
      <c r="AC475" s="237"/>
      <c r="AD475" s="787" t="s">
        <v>1693</v>
      </c>
      <c r="AE475" s="778"/>
      <c r="AF475" s="797"/>
      <c r="AG475" s="797"/>
      <c r="AH475" s="798"/>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row>
    <row r="476" spans="1:92" s="1" customFormat="1" ht="12.75">
      <c r="A476" s="733"/>
      <c r="B476" s="761"/>
      <c r="C476" s="755"/>
      <c r="D476" s="733"/>
      <c r="E476" s="758"/>
      <c r="F476" s="523"/>
      <c r="G476" s="757"/>
      <c r="H476" s="757"/>
      <c r="I476" s="762"/>
      <c r="J476" s="748"/>
      <c r="K476" s="381"/>
      <c r="L476" s="382"/>
      <c r="M476" s="763"/>
      <c r="N476" s="763"/>
      <c r="O476" s="762"/>
      <c r="P476" s="762"/>
      <c r="Q476" s="748"/>
      <c r="R476" s="763"/>
      <c r="S476" s="771"/>
      <c r="T476" s="766"/>
      <c r="U476" s="767"/>
      <c r="V476" s="391"/>
      <c r="W476" s="768"/>
      <c r="X476" s="768"/>
      <c r="Y476" s="370"/>
      <c r="Z476" s="370"/>
      <c r="AA476" s="370"/>
      <c r="AB476" s="516"/>
      <c r="AC476" s="237"/>
      <c r="AD476" s="799" t="s">
        <v>1694</v>
      </c>
      <c r="AE476" s="779" t="s">
        <v>1695</v>
      </c>
      <c r="AF476" s="800" t="s">
        <v>1696</v>
      </c>
      <c r="AG476" s="783">
        <f>VFFOD*19.6%</f>
        <v>5.8212</v>
      </c>
      <c r="AH476" s="784">
        <f>VFFOD*13%</f>
        <v>3.861</v>
      </c>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row>
    <row r="477" spans="1:92" s="1" customFormat="1" ht="12.75">
      <c r="A477" s="733"/>
      <c r="B477" s="761"/>
      <c r="C477" s="755"/>
      <c r="D477" s="733"/>
      <c r="E477" s="758"/>
      <c r="F477" s="523"/>
      <c r="G477" s="757"/>
      <c r="H477" s="757"/>
      <c r="I477" s="762"/>
      <c r="J477" s="748"/>
      <c r="K477" s="381"/>
      <c r="L477" s="382"/>
      <c r="M477" s="763"/>
      <c r="N477" s="763"/>
      <c r="O477" s="762"/>
      <c r="P477" s="762"/>
      <c r="Q477" s="748"/>
      <c r="R477" s="763"/>
      <c r="S477" s="771"/>
      <c r="T477" s="766"/>
      <c r="U477" s="767"/>
      <c r="V477" s="391"/>
      <c r="W477" s="768"/>
      <c r="X477" s="768"/>
      <c r="Y477" s="370"/>
      <c r="Z477" s="370"/>
      <c r="AA477" s="370"/>
      <c r="AB477" s="516"/>
      <c r="AC477" s="237"/>
      <c r="AD477" s="785" t="s">
        <v>1697</v>
      </c>
      <c r="AE477" s="775" t="s">
        <v>1698</v>
      </c>
      <c r="AF477" s="775" t="s">
        <v>1699</v>
      </c>
      <c r="AG477" s="774">
        <f>VFFOD*19.6%</f>
        <v>5.8212</v>
      </c>
      <c r="AH477" s="786">
        <f>VFFOD*13%</f>
        <v>3.861</v>
      </c>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row>
    <row r="478" spans="1:92" s="1" customFormat="1" ht="12.75">
      <c r="A478" s="733"/>
      <c r="B478" s="761"/>
      <c r="C478" s="755"/>
      <c r="D478" s="733"/>
      <c r="E478" s="758"/>
      <c r="F478" s="523"/>
      <c r="G478" s="757"/>
      <c r="H478" s="757"/>
      <c r="I478" s="762"/>
      <c r="J478" s="748"/>
      <c r="K478" s="381"/>
      <c r="L478" s="382"/>
      <c r="M478" s="763"/>
      <c r="N478" s="763"/>
      <c r="O478" s="762"/>
      <c r="P478" s="762"/>
      <c r="Q478" s="748"/>
      <c r="R478" s="763"/>
      <c r="S478" s="771"/>
      <c r="T478" s="766"/>
      <c r="U478" s="767"/>
      <c r="V478" s="391"/>
      <c r="W478" s="768"/>
      <c r="X478" s="768"/>
      <c r="Y478" s="370"/>
      <c r="Z478" s="370"/>
      <c r="AA478" s="370"/>
      <c r="AB478" s="516"/>
      <c r="AC478" s="237"/>
      <c r="AD478" s="791"/>
      <c r="AE478" s="792" t="s">
        <v>1700</v>
      </c>
      <c r="AF478" s="801"/>
      <c r="AG478" s="801"/>
      <c r="AH478" s="802"/>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row>
    <row r="479" spans="1:92" s="1" customFormat="1" ht="12.75">
      <c r="A479" s="733"/>
      <c r="B479" s="761"/>
      <c r="C479" s="755"/>
      <c r="D479" s="733"/>
      <c r="E479" s="758"/>
      <c r="F479" s="523"/>
      <c r="G479" s="757"/>
      <c r="H479" s="757"/>
      <c r="I479" s="762"/>
      <c r="J479" s="748"/>
      <c r="K479" s="381"/>
      <c r="L479" s="382"/>
      <c r="M479" s="763"/>
      <c r="N479" s="763"/>
      <c r="O479" s="762"/>
      <c r="P479" s="762"/>
      <c r="Q479" s="748"/>
      <c r="R479" s="763"/>
      <c r="S479" s="771"/>
      <c r="T479" s="766"/>
      <c r="U479" s="767"/>
      <c r="V479" s="391"/>
      <c r="W479" s="768"/>
      <c r="X479" s="768"/>
      <c r="Y479" s="370"/>
      <c r="Z479" s="370"/>
      <c r="AA479" s="370"/>
      <c r="AB479" s="516"/>
      <c r="AC479" s="237"/>
      <c r="AD479" s="791"/>
      <c r="AE479" s="792" t="s">
        <v>1701</v>
      </c>
      <c r="AF479" s="801"/>
      <c r="AG479" s="801"/>
      <c r="AH479" s="802"/>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row>
    <row r="480" spans="1:92" s="1" customFormat="1" ht="12.75">
      <c r="A480" s="733"/>
      <c r="B480" s="761"/>
      <c r="C480" s="755"/>
      <c r="D480" s="733"/>
      <c r="E480" s="758"/>
      <c r="F480" s="523"/>
      <c r="G480" s="757"/>
      <c r="H480" s="757"/>
      <c r="I480" s="762"/>
      <c r="J480" s="748"/>
      <c r="K480" s="381"/>
      <c r="L480" s="382"/>
      <c r="M480" s="763"/>
      <c r="N480" s="763"/>
      <c r="O480" s="762"/>
      <c r="P480" s="762"/>
      <c r="Q480" s="748"/>
      <c r="R480" s="763"/>
      <c r="S480" s="771"/>
      <c r="T480" s="766"/>
      <c r="U480" s="767"/>
      <c r="V480" s="391"/>
      <c r="W480" s="768"/>
      <c r="X480" s="768"/>
      <c r="Y480" s="370"/>
      <c r="Z480" s="370"/>
      <c r="AA480" s="370"/>
      <c r="AB480" s="516"/>
      <c r="AC480" s="237"/>
      <c r="AD480" s="787"/>
      <c r="AE480" s="778" t="s">
        <v>1702</v>
      </c>
      <c r="AF480" s="797"/>
      <c r="AG480" s="797"/>
      <c r="AH480" s="798"/>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row>
    <row r="481" spans="1:92" s="1" customFormat="1" ht="12.75">
      <c r="A481" s="733"/>
      <c r="B481" s="761"/>
      <c r="C481" s="755"/>
      <c r="D481" s="733"/>
      <c r="E481" s="758"/>
      <c r="F481" s="523"/>
      <c r="G481" s="757"/>
      <c r="H481" s="757"/>
      <c r="I481" s="762"/>
      <c r="J481" s="748"/>
      <c r="K481" s="381"/>
      <c r="L481" s="382"/>
      <c r="M481" s="763"/>
      <c r="N481" s="763"/>
      <c r="O481" s="762"/>
      <c r="P481" s="762"/>
      <c r="Q481" s="748"/>
      <c r="R481" s="763"/>
      <c r="S481" s="771"/>
      <c r="T481" s="766"/>
      <c r="U481" s="767"/>
      <c r="V481" s="391"/>
      <c r="W481" s="768"/>
      <c r="X481" s="768"/>
      <c r="Y481" s="370"/>
      <c r="Z481" s="370"/>
      <c r="AA481" s="370"/>
      <c r="AB481" s="516"/>
      <c r="AC481" s="237"/>
      <c r="AD481" s="785" t="s">
        <v>1703</v>
      </c>
      <c r="AE481" s="775" t="s">
        <v>1704</v>
      </c>
      <c r="AF481" s="775" t="s">
        <v>1705</v>
      </c>
      <c r="AG481" s="774">
        <f>VFBS*19.6%</f>
        <v>3.35944</v>
      </c>
      <c r="AH481" s="786">
        <f>VFBS*13%</f>
        <v>2.2282</v>
      </c>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row>
    <row r="482" spans="1:92" s="1" customFormat="1" ht="12.75">
      <c r="A482" s="733"/>
      <c r="B482" s="761"/>
      <c r="C482" s="755"/>
      <c r="D482" s="733"/>
      <c r="E482" s="758"/>
      <c r="F482" s="523"/>
      <c r="G482" s="757"/>
      <c r="H482" s="757"/>
      <c r="I482" s="762"/>
      <c r="J482" s="748"/>
      <c r="K482" s="381"/>
      <c r="L482" s="382"/>
      <c r="M482" s="763"/>
      <c r="N482" s="763"/>
      <c r="O482" s="762"/>
      <c r="P482" s="762"/>
      <c r="Q482" s="748"/>
      <c r="R482" s="763"/>
      <c r="S482" s="771"/>
      <c r="T482" s="766"/>
      <c r="U482" s="767"/>
      <c r="V482" s="391"/>
      <c r="W482" s="768"/>
      <c r="X482" s="768"/>
      <c r="Y482" s="370"/>
      <c r="Z482" s="370"/>
      <c r="AA482" s="370"/>
      <c r="AB482" s="516"/>
      <c r="AC482" s="237"/>
      <c r="AD482" s="787"/>
      <c r="AE482" s="778" t="s">
        <v>1706</v>
      </c>
      <c r="AF482" s="788"/>
      <c r="AG482" s="777"/>
      <c r="AH482" s="789"/>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row>
    <row r="483" spans="1:92" s="1" customFormat="1" ht="12.75">
      <c r="A483" s="733"/>
      <c r="B483" s="761"/>
      <c r="C483" s="755"/>
      <c r="D483" s="733"/>
      <c r="E483" s="758"/>
      <c r="F483" s="523"/>
      <c r="G483" s="757"/>
      <c r="H483" s="757"/>
      <c r="I483" s="762"/>
      <c r="J483" s="748"/>
      <c r="K483" s="381"/>
      <c r="L483" s="382"/>
      <c r="M483" s="763"/>
      <c r="N483" s="763"/>
      <c r="O483" s="762"/>
      <c r="P483" s="762"/>
      <c r="Q483" s="748"/>
      <c r="R483" s="763"/>
      <c r="S483" s="771"/>
      <c r="T483" s="766"/>
      <c r="U483" s="767"/>
      <c r="V483" s="391"/>
      <c r="W483" s="768"/>
      <c r="X483" s="768"/>
      <c r="Y483" s="370"/>
      <c r="Z483" s="370"/>
      <c r="AA483" s="370"/>
      <c r="AB483" s="516"/>
      <c r="AC483" s="237"/>
      <c r="AD483" s="785" t="s">
        <v>1707</v>
      </c>
      <c r="AE483" s="775" t="s">
        <v>1708</v>
      </c>
      <c r="AF483" s="775" t="s">
        <v>1709</v>
      </c>
      <c r="AG483" s="774">
        <f>VFFHS*19.6%</f>
        <v>2.78124</v>
      </c>
      <c r="AH483" s="786">
        <f>VFFHS*13%</f>
        <v>1.8447</v>
      </c>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row>
    <row r="484" spans="1:92" s="1" customFormat="1" ht="12.75">
      <c r="A484" s="733"/>
      <c r="B484" s="761"/>
      <c r="C484" s="755"/>
      <c r="D484" s="733"/>
      <c r="E484" s="758"/>
      <c r="F484" s="523"/>
      <c r="G484" s="757"/>
      <c r="H484" s="757"/>
      <c r="I484" s="762"/>
      <c r="J484" s="748"/>
      <c r="K484" s="381"/>
      <c r="L484" s="382"/>
      <c r="M484" s="763"/>
      <c r="N484" s="763"/>
      <c r="O484" s="762"/>
      <c r="P484" s="762"/>
      <c r="Q484" s="748"/>
      <c r="R484" s="763"/>
      <c r="S484" s="771"/>
      <c r="T484" s="766"/>
      <c r="U484" s="767"/>
      <c r="V484" s="391"/>
      <c r="W484" s="768"/>
      <c r="X484" s="768"/>
      <c r="Y484" s="370"/>
      <c r="Z484" s="370"/>
      <c r="AA484" s="370"/>
      <c r="AB484" s="516"/>
      <c r="AC484" s="237"/>
      <c r="AD484" s="787"/>
      <c r="AE484" s="778" t="s">
        <v>1710</v>
      </c>
      <c r="AF484" s="778"/>
      <c r="AG484" s="777"/>
      <c r="AH484" s="789"/>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row>
    <row r="485" spans="1:92" s="1" customFormat="1" ht="12.75">
      <c r="A485" s="733"/>
      <c r="B485" s="761"/>
      <c r="C485" s="755"/>
      <c r="D485" s="733"/>
      <c r="E485" s="758"/>
      <c r="F485" s="523"/>
      <c r="G485" s="757"/>
      <c r="H485" s="757"/>
      <c r="I485" s="762"/>
      <c r="J485" s="748"/>
      <c r="K485" s="381"/>
      <c r="L485" s="382"/>
      <c r="M485" s="763"/>
      <c r="N485" s="763"/>
      <c r="O485" s="762"/>
      <c r="P485" s="762"/>
      <c r="Q485" s="748"/>
      <c r="R485" s="763"/>
      <c r="S485" s="771"/>
      <c r="T485" s="766"/>
      <c r="U485" s="767"/>
      <c r="V485" s="391"/>
      <c r="W485" s="768"/>
      <c r="X485" s="768"/>
      <c r="Y485" s="370"/>
      <c r="Z485" s="370"/>
      <c r="AA485" s="370"/>
      <c r="AB485" s="516"/>
      <c r="AC485" s="237"/>
      <c r="AD485" s="785" t="s">
        <v>1711</v>
      </c>
      <c r="AE485" s="775"/>
      <c r="AF485" s="775"/>
      <c r="AG485" s="774"/>
      <c r="AH485" s="786"/>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row>
    <row r="486" spans="1:92" s="1" customFormat="1" ht="12.75">
      <c r="A486" s="733"/>
      <c r="B486" s="761"/>
      <c r="C486" s="755"/>
      <c r="D486" s="733"/>
      <c r="E486" s="758"/>
      <c r="F486" s="523"/>
      <c r="G486" s="757"/>
      <c r="H486" s="757"/>
      <c r="I486" s="762"/>
      <c r="J486" s="748"/>
      <c r="K486" s="381"/>
      <c r="L486" s="382"/>
      <c r="M486" s="763"/>
      <c r="N486" s="763"/>
      <c r="O486" s="762"/>
      <c r="P486" s="762"/>
      <c r="Q486" s="748"/>
      <c r="R486" s="763"/>
      <c r="S486" s="771"/>
      <c r="T486" s="766"/>
      <c r="U486" s="767"/>
      <c r="V486" s="391"/>
      <c r="W486" s="768"/>
      <c r="X486" s="768"/>
      <c r="Y486" s="370"/>
      <c r="Z486" s="370"/>
      <c r="AA486" s="370"/>
      <c r="AB486" s="516"/>
      <c r="AC486" s="237"/>
      <c r="AD486" s="791" t="s">
        <v>1712</v>
      </c>
      <c r="AE486" s="792" t="s">
        <v>1713</v>
      </c>
      <c r="AF486" s="792" t="s">
        <v>1714</v>
      </c>
      <c r="AG486" s="793">
        <f>VFPRO*19.6%</f>
        <v>6.209280000000001</v>
      </c>
      <c r="AH486" s="794">
        <f>VFPRO*13%</f>
        <v>4.1184</v>
      </c>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row>
    <row r="487" spans="1:92" s="1" customFormat="1" ht="12.75">
      <c r="A487" s="733"/>
      <c r="B487" s="761"/>
      <c r="C487" s="755"/>
      <c r="D487" s="733"/>
      <c r="E487" s="758"/>
      <c r="F487" s="523"/>
      <c r="G487" s="757"/>
      <c r="H487" s="757"/>
      <c r="I487" s="762"/>
      <c r="J487" s="748"/>
      <c r="K487" s="381"/>
      <c r="L487" s="382"/>
      <c r="M487" s="763"/>
      <c r="N487" s="763"/>
      <c r="O487" s="762"/>
      <c r="P487" s="762"/>
      <c r="Q487" s="748"/>
      <c r="R487" s="763"/>
      <c r="S487" s="771"/>
      <c r="T487" s="766"/>
      <c r="U487" s="767"/>
      <c r="V487" s="391"/>
      <c r="W487" s="768"/>
      <c r="X487" s="768"/>
      <c r="Y487" s="370"/>
      <c r="Z487" s="370"/>
      <c r="AA487" s="370"/>
      <c r="AB487" s="516"/>
      <c r="AC487" s="237"/>
      <c r="AD487" s="787" t="s">
        <v>1715</v>
      </c>
      <c r="AE487" s="778"/>
      <c r="AF487" s="778"/>
      <c r="AG487" s="777"/>
      <c r="AH487" s="789"/>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row>
    <row r="488" spans="1:92" s="1" customFormat="1" ht="12.75">
      <c r="A488" s="733"/>
      <c r="B488" s="761"/>
      <c r="C488" s="755"/>
      <c r="D488" s="733"/>
      <c r="E488" s="758"/>
      <c r="F488" s="523"/>
      <c r="G488" s="757"/>
      <c r="H488" s="757"/>
      <c r="I488" s="762"/>
      <c r="J488" s="748"/>
      <c r="K488" s="381"/>
      <c r="L488" s="382"/>
      <c r="M488" s="763"/>
      <c r="N488" s="763"/>
      <c r="O488" s="762"/>
      <c r="P488" s="762"/>
      <c r="Q488" s="748"/>
      <c r="R488" s="763"/>
      <c r="S488" s="771"/>
      <c r="T488" s="766"/>
      <c r="U488" s="767"/>
      <c r="V488" s="391"/>
      <c r="W488" s="768"/>
      <c r="X488" s="768"/>
      <c r="Y488" s="370"/>
      <c r="Z488" s="370"/>
      <c r="AA488" s="370"/>
      <c r="AB488" s="516"/>
      <c r="AC488" s="237"/>
      <c r="AD488" s="785" t="s">
        <v>1716</v>
      </c>
      <c r="AE488" s="775"/>
      <c r="AF488" s="775"/>
      <c r="AG488" s="774"/>
      <c r="AH488" s="786"/>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row>
    <row r="489" spans="1:92" s="1" customFormat="1" ht="12.75">
      <c r="A489" s="733"/>
      <c r="B489" s="761"/>
      <c r="C489" s="755"/>
      <c r="D489" s="733"/>
      <c r="E489" s="758"/>
      <c r="F489" s="523"/>
      <c r="G489" s="757"/>
      <c r="H489" s="757"/>
      <c r="I489" s="762"/>
      <c r="J489" s="748"/>
      <c r="K489" s="381"/>
      <c r="L489" s="382"/>
      <c r="M489" s="763"/>
      <c r="N489" s="763"/>
      <c r="O489" s="762"/>
      <c r="P489" s="762"/>
      <c r="Q489" s="748"/>
      <c r="R489" s="763"/>
      <c r="S489" s="771"/>
      <c r="T489" s="766"/>
      <c r="U489" s="767"/>
      <c r="V489" s="391"/>
      <c r="W489" s="768"/>
      <c r="X489" s="768"/>
      <c r="Y489" s="370"/>
      <c r="Z489" s="370"/>
      <c r="AA489" s="370"/>
      <c r="AB489" s="516"/>
      <c r="AC489" s="237"/>
      <c r="AD489" s="791" t="s">
        <v>1717</v>
      </c>
      <c r="AE489" s="792" t="s">
        <v>1718</v>
      </c>
      <c r="AF489" s="792" t="s">
        <v>1719</v>
      </c>
      <c r="AG489" s="793">
        <f>VFBUT*19.6%</f>
        <v>6.03484</v>
      </c>
      <c r="AH489" s="794">
        <f>VFBUT*13%</f>
        <v>4.0027</v>
      </c>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row>
    <row r="490" spans="1:92" s="1" customFormat="1" ht="12.75">
      <c r="A490" s="733"/>
      <c r="B490" s="761"/>
      <c r="C490" s="755"/>
      <c r="D490" s="733"/>
      <c r="E490" s="758"/>
      <c r="F490" s="523"/>
      <c r="G490" s="757"/>
      <c r="H490" s="757"/>
      <c r="I490" s="762"/>
      <c r="J490" s="748"/>
      <c r="K490" s="381"/>
      <c r="L490" s="382"/>
      <c r="M490" s="763"/>
      <c r="N490" s="763"/>
      <c r="O490" s="762"/>
      <c r="P490" s="762"/>
      <c r="Q490" s="748"/>
      <c r="R490" s="763"/>
      <c r="S490" s="771"/>
      <c r="T490" s="766"/>
      <c r="U490" s="767"/>
      <c r="V490" s="391"/>
      <c r="W490" s="768"/>
      <c r="X490" s="768"/>
      <c r="Y490" s="370"/>
      <c r="Z490" s="370"/>
      <c r="AA490" s="370"/>
      <c r="AB490" s="516"/>
      <c r="AC490" s="237"/>
      <c r="AD490" s="787" t="s">
        <v>1720</v>
      </c>
      <c r="AE490" s="778"/>
      <c r="AF490" s="778"/>
      <c r="AG490" s="777"/>
      <c r="AH490" s="789"/>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row>
    <row r="491" spans="1:92" s="1" customFormat="1" ht="12.75">
      <c r="A491" s="733"/>
      <c r="B491" s="761"/>
      <c r="C491" s="755"/>
      <c r="D491" s="733"/>
      <c r="E491" s="758"/>
      <c r="F491" s="523"/>
      <c r="G491" s="757"/>
      <c r="H491" s="757"/>
      <c r="I491" s="762"/>
      <c r="J491" s="748"/>
      <c r="K491" s="381"/>
      <c r="L491" s="382"/>
      <c r="M491" s="763"/>
      <c r="N491" s="763"/>
      <c r="O491" s="762"/>
      <c r="P491" s="762"/>
      <c r="Q491" s="748"/>
      <c r="R491" s="763"/>
      <c r="S491" s="771"/>
      <c r="T491" s="766"/>
      <c r="U491" s="767"/>
      <c r="V491" s="391"/>
      <c r="W491" s="768"/>
      <c r="X491" s="768"/>
      <c r="Y491" s="370"/>
      <c r="Z491" s="370"/>
      <c r="AA491" s="370"/>
      <c r="AB491" s="516"/>
      <c r="AC491" s="237"/>
      <c r="AD491" s="785" t="s">
        <v>1721</v>
      </c>
      <c r="AE491" s="775"/>
      <c r="AF491" s="775"/>
      <c r="AG491" s="774"/>
      <c r="AH491" s="786"/>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row>
    <row r="492" spans="1:92" s="1" customFormat="1" ht="12.75">
      <c r="A492" s="733"/>
      <c r="B492" s="761"/>
      <c r="C492" s="755"/>
      <c r="D492" s="733"/>
      <c r="E492" s="758"/>
      <c r="F492" s="523"/>
      <c r="G492" s="757"/>
      <c r="H492" s="757"/>
      <c r="I492" s="762"/>
      <c r="J492" s="748"/>
      <c r="K492" s="381"/>
      <c r="L492" s="382"/>
      <c r="M492" s="763"/>
      <c r="N492" s="763"/>
      <c r="O492" s="762"/>
      <c r="P492" s="762"/>
      <c r="Q492" s="748"/>
      <c r="R492" s="763"/>
      <c r="S492" s="771"/>
      <c r="T492" s="766"/>
      <c r="U492" s="767"/>
      <c r="V492" s="391"/>
      <c r="W492" s="768"/>
      <c r="X492" s="768"/>
      <c r="Y492" s="370"/>
      <c r="Z492" s="370"/>
      <c r="AA492" s="370"/>
      <c r="AB492" s="516"/>
      <c r="AC492" s="237"/>
      <c r="AD492" s="791" t="s">
        <v>1722</v>
      </c>
      <c r="AE492" s="792" t="s">
        <v>1723</v>
      </c>
      <c r="AF492" s="792" t="s">
        <v>1724</v>
      </c>
      <c r="AG492" s="793">
        <f>VFBUT*19.6%</f>
        <v>6.03484</v>
      </c>
      <c r="AH492" s="794">
        <f>VFBUT*13%</f>
        <v>4.0027</v>
      </c>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c r="BH492" s="34"/>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row>
    <row r="493" spans="1:92" s="1" customFormat="1" ht="12.75">
      <c r="A493" s="733"/>
      <c r="B493" s="761"/>
      <c r="C493" s="755"/>
      <c r="D493" s="733"/>
      <c r="E493" s="758"/>
      <c r="F493" s="523"/>
      <c r="G493" s="757"/>
      <c r="H493" s="757"/>
      <c r="I493" s="762"/>
      <c r="J493" s="748"/>
      <c r="K493" s="381"/>
      <c r="L493" s="382"/>
      <c r="M493" s="763"/>
      <c r="N493" s="763"/>
      <c r="O493" s="762"/>
      <c r="P493" s="762"/>
      <c r="Q493" s="748"/>
      <c r="R493" s="763"/>
      <c r="S493" s="771"/>
      <c r="T493" s="766"/>
      <c r="U493" s="767"/>
      <c r="V493" s="391"/>
      <c r="W493" s="768"/>
      <c r="X493" s="768"/>
      <c r="Y493" s="370"/>
      <c r="Z493" s="370"/>
      <c r="AA493" s="370"/>
      <c r="AB493" s="516"/>
      <c r="AC493" s="237"/>
      <c r="AD493" s="787"/>
      <c r="AE493" s="778"/>
      <c r="AF493" s="778"/>
      <c r="AG493" s="777"/>
      <c r="AH493" s="789"/>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row>
    <row r="494" spans="1:92" s="1" customFormat="1" ht="12.75">
      <c r="A494" s="733"/>
      <c r="B494" s="761"/>
      <c r="C494" s="755"/>
      <c r="D494" s="733"/>
      <c r="E494" s="758"/>
      <c r="F494" s="523"/>
      <c r="G494" s="757"/>
      <c r="H494" s="757"/>
      <c r="I494" s="762"/>
      <c r="J494" s="748"/>
      <c r="K494" s="381"/>
      <c r="L494" s="382"/>
      <c r="M494" s="763"/>
      <c r="N494" s="763"/>
      <c r="O494" s="762"/>
      <c r="P494" s="762"/>
      <c r="Q494" s="748"/>
      <c r="R494" s="763"/>
      <c r="S494" s="771"/>
      <c r="T494" s="766"/>
      <c r="U494" s="767"/>
      <c r="V494" s="391"/>
      <c r="W494" s="768"/>
      <c r="X494" s="768"/>
      <c r="Y494" s="370"/>
      <c r="Z494" s="370"/>
      <c r="AA494" s="370"/>
      <c r="AB494" s="516"/>
      <c r="AC494" s="237"/>
      <c r="AD494" s="785"/>
      <c r="AE494" s="803" t="s">
        <v>1725</v>
      </c>
      <c r="AF494" s="775"/>
      <c r="AG494" s="774"/>
      <c r="AH494" s="786"/>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row>
    <row r="495" spans="1:92" s="1" customFormat="1" ht="12.75">
      <c r="A495" s="733"/>
      <c r="B495" s="761"/>
      <c r="C495" s="755"/>
      <c r="D495" s="733"/>
      <c r="E495" s="758"/>
      <c r="F495" s="523"/>
      <c r="G495" s="757"/>
      <c r="H495" s="757"/>
      <c r="I495" s="762"/>
      <c r="J495" s="748"/>
      <c r="K495" s="381"/>
      <c r="L495" s="382"/>
      <c r="M495" s="763"/>
      <c r="N495" s="763"/>
      <c r="O495" s="762"/>
      <c r="P495" s="762"/>
      <c r="Q495" s="748"/>
      <c r="R495" s="763"/>
      <c r="S495" s="771"/>
      <c r="T495" s="766"/>
      <c r="U495" s="767"/>
      <c r="V495" s="391"/>
      <c r="W495" s="768"/>
      <c r="X495" s="768"/>
      <c r="Y495" s="370"/>
      <c r="Z495" s="370"/>
      <c r="AA495" s="370"/>
      <c r="AB495" s="516"/>
      <c r="AC495" s="237"/>
      <c r="AD495" s="791"/>
      <c r="AE495" s="792" t="s">
        <v>1726</v>
      </c>
      <c r="AF495" s="792"/>
      <c r="AG495" s="793"/>
      <c r="AH495" s="79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row>
    <row r="496" spans="1:92" s="1" customFormat="1" ht="12.75">
      <c r="A496" s="733"/>
      <c r="B496" s="761"/>
      <c r="C496" s="755"/>
      <c r="D496" s="733"/>
      <c r="E496" s="758"/>
      <c r="F496" s="523"/>
      <c r="G496" s="757"/>
      <c r="H496" s="757"/>
      <c r="I496" s="762"/>
      <c r="J496" s="748"/>
      <c r="K496" s="381"/>
      <c r="L496" s="382"/>
      <c r="M496" s="763"/>
      <c r="N496" s="763"/>
      <c r="O496" s="762"/>
      <c r="P496" s="762"/>
      <c r="Q496" s="748"/>
      <c r="R496" s="763"/>
      <c r="S496" s="771"/>
      <c r="T496" s="766"/>
      <c r="U496" s="767"/>
      <c r="V496" s="391"/>
      <c r="W496" s="768"/>
      <c r="X496" s="768"/>
      <c r="Y496" s="370"/>
      <c r="Z496" s="370"/>
      <c r="AA496" s="370"/>
      <c r="AB496" s="516"/>
      <c r="AC496" s="237"/>
      <c r="AD496" s="791" t="s">
        <v>1727</v>
      </c>
      <c r="AE496" s="792" t="s">
        <v>1728</v>
      </c>
      <c r="AF496" s="792"/>
      <c r="AG496" s="793"/>
      <c r="AH496" s="79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row>
    <row r="497" spans="1:92" s="1" customFormat="1" ht="12.75">
      <c r="A497" s="733"/>
      <c r="B497" s="761"/>
      <c r="C497" s="755"/>
      <c r="D497" s="733"/>
      <c r="E497" s="758"/>
      <c r="F497" s="523"/>
      <c r="G497" s="757"/>
      <c r="H497" s="757"/>
      <c r="I497" s="762"/>
      <c r="J497" s="748"/>
      <c r="K497" s="381"/>
      <c r="L497" s="382"/>
      <c r="M497" s="763"/>
      <c r="N497" s="763"/>
      <c r="O497" s="762"/>
      <c r="P497" s="762"/>
      <c r="Q497" s="748"/>
      <c r="R497" s="763"/>
      <c r="S497" s="771"/>
      <c r="T497" s="766"/>
      <c r="U497" s="767"/>
      <c r="V497" s="391"/>
      <c r="W497" s="768"/>
      <c r="X497" s="768"/>
      <c r="Y497" s="370"/>
      <c r="Z497" s="370"/>
      <c r="AA497" s="370"/>
      <c r="AB497" s="516"/>
      <c r="AC497" s="237"/>
      <c r="AD497" s="791" t="s">
        <v>1729</v>
      </c>
      <c r="AE497" s="792" t="s">
        <v>1730</v>
      </c>
      <c r="AF497" s="792" t="s">
        <v>1731</v>
      </c>
      <c r="AG497" s="793">
        <f>VFHL*19.6%</f>
        <v>4.48252</v>
      </c>
      <c r="AH497" s="794">
        <f>VFHL*13%</f>
        <v>2.9731</v>
      </c>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c r="BH497" s="34"/>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row>
    <row r="498" spans="1:92" s="1" customFormat="1" ht="12.75">
      <c r="A498" s="733"/>
      <c r="B498" s="761"/>
      <c r="C498" s="755"/>
      <c r="D498" s="733"/>
      <c r="E498" s="758"/>
      <c r="F498" s="523"/>
      <c r="G498" s="757"/>
      <c r="H498" s="757"/>
      <c r="I498" s="762"/>
      <c r="J498" s="748"/>
      <c r="K498" s="381"/>
      <c r="L498" s="382"/>
      <c r="M498" s="763"/>
      <c r="N498" s="763"/>
      <c r="O498" s="762"/>
      <c r="P498" s="762"/>
      <c r="Q498" s="748"/>
      <c r="R498" s="763"/>
      <c r="S498" s="771"/>
      <c r="T498" s="766"/>
      <c r="U498" s="767"/>
      <c r="V498" s="391"/>
      <c r="W498" s="768"/>
      <c r="X498" s="768"/>
      <c r="Y498" s="370"/>
      <c r="Z498" s="370"/>
      <c r="AA498" s="370"/>
      <c r="AB498" s="516"/>
      <c r="AC498" s="237"/>
      <c r="AD498" s="791"/>
      <c r="AE498" s="792" t="s">
        <v>1732</v>
      </c>
      <c r="AF498" s="796"/>
      <c r="AG498" s="793"/>
      <c r="AH498" s="79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row>
    <row r="499" spans="1:92" s="1" customFormat="1" ht="12.75">
      <c r="A499" s="733"/>
      <c r="B499" s="761"/>
      <c r="C499" s="755"/>
      <c r="D499" s="733"/>
      <c r="E499" s="758"/>
      <c r="F499" s="523"/>
      <c r="G499" s="757"/>
      <c r="H499" s="757"/>
      <c r="I499" s="762"/>
      <c r="J499" s="748"/>
      <c r="K499" s="381"/>
      <c r="L499" s="382"/>
      <c r="M499" s="763"/>
      <c r="N499" s="763"/>
      <c r="O499" s="762"/>
      <c r="P499" s="762"/>
      <c r="Q499" s="748"/>
      <c r="R499" s="763"/>
      <c r="S499" s="771"/>
      <c r="T499" s="766"/>
      <c r="U499" s="767"/>
      <c r="V499" s="391"/>
      <c r="W499" s="768"/>
      <c r="X499" s="768"/>
      <c r="Y499" s="370"/>
      <c r="Z499" s="370"/>
      <c r="AA499" s="370"/>
      <c r="AB499" s="516"/>
      <c r="AC499" s="237"/>
      <c r="AD499" s="791"/>
      <c r="AE499" s="792" t="s">
        <v>1733</v>
      </c>
      <c r="AF499" s="796"/>
      <c r="AG499" s="793"/>
      <c r="AH499" s="79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row>
    <row r="500" spans="1:92" s="1" customFormat="1" ht="12.75">
      <c r="A500" s="733"/>
      <c r="B500" s="761"/>
      <c r="C500" s="755"/>
      <c r="D500" s="733"/>
      <c r="E500" s="758"/>
      <c r="F500" s="523"/>
      <c r="G500" s="757"/>
      <c r="H500" s="757"/>
      <c r="I500" s="762"/>
      <c r="J500" s="748"/>
      <c r="K500" s="381"/>
      <c r="L500" s="382"/>
      <c r="M500" s="763"/>
      <c r="N500" s="763"/>
      <c r="O500" s="762"/>
      <c r="P500" s="762"/>
      <c r="Q500" s="748"/>
      <c r="R500" s="763"/>
      <c r="S500" s="771"/>
      <c r="T500" s="766"/>
      <c r="U500" s="767"/>
      <c r="V500" s="391"/>
      <c r="W500" s="768"/>
      <c r="X500" s="768"/>
      <c r="Y500" s="370"/>
      <c r="Z500" s="370"/>
      <c r="AA500" s="370"/>
      <c r="AB500" s="516"/>
      <c r="AC500" s="237"/>
      <c r="AD500" s="791"/>
      <c r="AE500" s="792" t="s">
        <v>1734</v>
      </c>
      <c r="AF500" s="796"/>
      <c r="AG500" s="793"/>
      <c r="AH500" s="79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row>
    <row r="501" spans="1:92" s="1" customFormat="1" ht="12.75">
      <c r="A501" s="733"/>
      <c r="B501" s="761"/>
      <c r="C501" s="755"/>
      <c r="D501" s="733"/>
      <c r="E501" s="758"/>
      <c r="F501" s="523"/>
      <c r="G501" s="757"/>
      <c r="H501" s="757"/>
      <c r="I501" s="762"/>
      <c r="J501" s="748"/>
      <c r="K501" s="381"/>
      <c r="L501" s="382"/>
      <c r="M501" s="763"/>
      <c r="N501" s="763"/>
      <c r="O501" s="762"/>
      <c r="P501" s="762"/>
      <c r="Q501" s="748"/>
      <c r="R501" s="763"/>
      <c r="S501" s="771"/>
      <c r="T501" s="766"/>
      <c r="U501" s="767"/>
      <c r="V501" s="391"/>
      <c r="W501" s="768"/>
      <c r="X501" s="768"/>
      <c r="Y501" s="370"/>
      <c r="Z501" s="370"/>
      <c r="AA501" s="370"/>
      <c r="AB501" s="516"/>
      <c r="AC501" s="237"/>
      <c r="AD501" s="791"/>
      <c r="AE501" s="792" t="s">
        <v>1735</v>
      </c>
      <c r="AF501" s="796"/>
      <c r="AG501" s="793"/>
      <c r="AH501" s="79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row>
    <row r="502" spans="1:92" s="1" customFormat="1" ht="12.75">
      <c r="A502" s="733"/>
      <c r="B502" s="761"/>
      <c r="C502" s="755"/>
      <c r="D502" s="733"/>
      <c r="E502" s="758"/>
      <c r="F502" s="523"/>
      <c r="G502" s="757"/>
      <c r="H502" s="757"/>
      <c r="I502" s="762"/>
      <c r="J502" s="748"/>
      <c r="K502" s="381"/>
      <c r="L502" s="382"/>
      <c r="M502" s="763"/>
      <c r="N502" s="763"/>
      <c r="O502" s="762"/>
      <c r="P502" s="762"/>
      <c r="Q502" s="748"/>
      <c r="R502" s="763"/>
      <c r="S502" s="771"/>
      <c r="T502" s="766"/>
      <c r="U502" s="767"/>
      <c r="V502" s="391"/>
      <c r="W502" s="768"/>
      <c r="X502" s="768"/>
      <c r="Y502" s="370"/>
      <c r="Z502" s="370"/>
      <c r="AA502" s="370"/>
      <c r="AB502" s="516"/>
      <c r="AC502" s="237"/>
      <c r="AD502" s="791"/>
      <c r="AE502" s="792" t="s">
        <v>1736</v>
      </c>
      <c r="AF502" s="796"/>
      <c r="AG502" s="793"/>
      <c r="AH502" s="79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row>
    <row r="503" spans="1:92" s="1" customFormat="1" ht="12.75">
      <c r="A503" s="733"/>
      <c r="B503" s="761"/>
      <c r="C503" s="755"/>
      <c r="D503" s="733"/>
      <c r="E503" s="758"/>
      <c r="F503" s="523"/>
      <c r="G503" s="757"/>
      <c r="H503" s="757"/>
      <c r="I503" s="762"/>
      <c r="J503" s="748"/>
      <c r="K503" s="381"/>
      <c r="L503" s="382"/>
      <c r="M503" s="763"/>
      <c r="N503" s="763"/>
      <c r="O503" s="762"/>
      <c r="P503" s="762"/>
      <c r="Q503" s="748"/>
      <c r="R503" s="763"/>
      <c r="S503" s="771"/>
      <c r="T503" s="766"/>
      <c r="U503" s="767"/>
      <c r="V503" s="391"/>
      <c r="W503" s="768"/>
      <c r="X503" s="768"/>
      <c r="Y503" s="370"/>
      <c r="Z503" s="370"/>
      <c r="AA503" s="370"/>
      <c r="AB503" s="516"/>
      <c r="AC503" s="237"/>
      <c r="AD503" s="791"/>
      <c r="AE503" s="792" t="s">
        <v>1737</v>
      </c>
      <c r="AF503" s="796"/>
      <c r="AG503" s="793"/>
      <c r="AH503" s="79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row>
    <row r="504" spans="1:92" s="1" customFormat="1" ht="12.75">
      <c r="A504" s="733"/>
      <c r="B504" s="761"/>
      <c r="C504" s="755"/>
      <c r="D504" s="733"/>
      <c r="E504" s="758"/>
      <c r="F504" s="523"/>
      <c r="G504" s="757"/>
      <c r="H504" s="757"/>
      <c r="I504" s="762"/>
      <c r="J504" s="748"/>
      <c r="K504" s="381"/>
      <c r="L504" s="382"/>
      <c r="M504" s="763"/>
      <c r="N504" s="763"/>
      <c r="O504" s="762"/>
      <c r="P504" s="762"/>
      <c r="Q504" s="748"/>
      <c r="R504" s="763"/>
      <c r="S504" s="771"/>
      <c r="T504" s="766"/>
      <c r="U504" s="767"/>
      <c r="V504" s="391"/>
      <c r="W504" s="768"/>
      <c r="X504" s="768"/>
      <c r="Y504" s="370"/>
      <c r="Z504" s="370"/>
      <c r="AA504" s="370"/>
      <c r="AB504" s="516"/>
      <c r="AC504" s="237"/>
      <c r="AD504" s="791"/>
      <c r="AE504" s="792" t="s">
        <v>1738</v>
      </c>
      <c r="AF504" s="796"/>
      <c r="AG504" s="793"/>
      <c r="AH504" s="79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row>
    <row r="505" spans="1:92" s="1" customFormat="1" ht="12.75">
      <c r="A505" s="733"/>
      <c r="B505" s="761"/>
      <c r="C505" s="755"/>
      <c r="D505" s="733"/>
      <c r="E505" s="758"/>
      <c r="F505" s="523"/>
      <c r="G505" s="757"/>
      <c r="H505" s="757"/>
      <c r="I505" s="762"/>
      <c r="J505" s="748"/>
      <c r="K505" s="381"/>
      <c r="L505" s="382"/>
      <c r="M505" s="763"/>
      <c r="N505" s="763"/>
      <c r="O505" s="762"/>
      <c r="P505" s="762"/>
      <c r="Q505" s="748"/>
      <c r="R505" s="763"/>
      <c r="S505" s="771"/>
      <c r="T505" s="766"/>
      <c r="U505" s="767"/>
      <c r="V505" s="391"/>
      <c r="W505" s="768"/>
      <c r="X505" s="768"/>
      <c r="Y505" s="370"/>
      <c r="Z505" s="370"/>
      <c r="AA505" s="370"/>
      <c r="AB505" s="516"/>
      <c r="AC505" s="237"/>
      <c r="AD505" s="791"/>
      <c r="AE505" s="792" t="s">
        <v>1739</v>
      </c>
      <c r="AF505" s="796"/>
      <c r="AG505" s="793"/>
      <c r="AH505" s="79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row>
    <row r="506" spans="1:92" s="1" customFormat="1" ht="12.75">
      <c r="A506" s="733"/>
      <c r="B506" s="761"/>
      <c r="C506" s="755"/>
      <c r="D506" s="733"/>
      <c r="E506" s="758"/>
      <c r="F506" s="523"/>
      <c r="G506" s="757"/>
      <c r="H506" s="757"/>
      <c r="I506" s="762"/>
      <c r="J506" s="748"/>
      <c r="K506" s="381"/>
      <c r="L506" s="382"/>
      <c r="M506" s="763"/>
      <c r="N506" s="763"/>
      <c r="O506" s="762"/>
      <c r="P506" s="762"/>
      <c r="Q506" s="748"/>
      <c r="R506" s="763"/>
      <c r="S506" s="771"/>
      <c r="T506" s="766"/>
      <c r="U506" s="767"/>
      <c r="V506" s="391"/>
      <c r="W506" s="768"/>
      <c r="X506" s="768"/>
      <c r="Y506" s="370"/>
      <c r="Z506" s="370"/>
      <c r="AA506" s="370"/>
      <c r="AB506" s="516"/>
      <c r="AC506" s="237"/>
      <c r="AD506" s="787"/>
      <c r="AE506" s="778" t="s">
        <v>1740</v>
      </c>
      <c r="AF506" s="788"/>
      <c r="AG506" s="777"/>
      <c r="AH506" s="789"/>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row>
    <row r="507" spans="1:92" s="1" customFormat="1" ht="12.75">
      <c r="A507" s="733"/>
      <c r="B507" s="761"/>
      <c r="C507" s="755"/>
      <c r="D507" s="733"/>
      <c r="E507" s="758"/>
      <c r="F507" s="523"/>
      <c r="G507" s="757"/>
      <c r="H507" s="757"/>
      <c r="I507" s="762"/>
      <c r="J507" s="748"/>
      <c r="K507" s="381"/>
      <c r="L507" s="382"/>
      <c r="M507" s="763"/>
      <c r="N507" s="763"/>
      <c r="O507" s="762"/>
      <c r="P507" s="762"/>
      <c r="Q507" s="748"/>
      <c r="R507" s="763"/>
      <c r="S507" s="771"/>
      <c r="T507" s="766"/>
      <c r="U507" s="767"/>
      <c r="V507" s="391"/>
      <c r="W507" s="768"/>
      <c r="X507" s="768"/>
      <c r="Y507" s="370"/>
      <c r="Z507" s="370"/>
      <c r="AA507" s="370"/>
      <c r="AB507" s="516"/>
      <c r="AC507" s="237"/>
      <c r="AD507" s="785" t="s">
        <v>1741</v>
      </c>
      <c r="AE507" s="804" t="s">
        <v>1742</v>
      </c>
      <c r="AF507" s="775" t="s">
        <v>1743</v>
      </c>
      <c r="AG507" s="774">
        <f>VFGO*19.6%</f>
        <v>6.27984</v>
      </c>
      <c r="AH507" s="786">
        <f>VFGO*13%</f>
        <v>4.1652000000000005</v>
      </c>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row>
    <row r="508" spans="1:92" s="1" customFormat="1" ht="12.75">
      <c r="A508" s="733"/>
      <c r="B508" s="761"/>
      <c r="C508" s="755"/>
      <c r="D508" s="733"/>
      <c r="E508" s="758"/>
      <c r="F508" s="523"/>
      <c r="G508" s="757"/>
      <c r="H508" s="757"/>
      <c r="I508" s="762"/>
      <c r="J508" s="748"/>
      <c r="K508" s="381"/>
      <c r="L508" s="382"/>
      <c r="M508" s="763"/>
      <c r="N508" s="763"/>
      <c r="O508" s="762"/>
      <c r="P508" s="762"/>
      <c r="Q508" s="748"/>
      <c r="R508" s="763"/>
      <c r="S508" s="771"/>
      <c r="T508" s="766"/>
      <c r="U508" s="767"/>
      <c r="V508" s="391"/>
      <c r="W508" s="768"/>
      <c r="X508" s="768"/>
      <c r="Y508" s="370"/>
      <c r="Z508" s="370"/>
      <c r="AA508" s="370"/>
      <c r="AB508" s="516"/>
      <c r="AC508" s="237"/>
      <c r="AD508" s="787" t="s">
        <v>1744</v>
      </c>
      <c r="AE508" s="805"/>
      <c r="AF508" s="788"/>
      <c r="AG508" s="777"/>
      <c r="AH508" s="789"/>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row>
    <row r="509" spans="1:92" s="1" customFormat="1" ht="12.75">
      <c r="A509" s="733"/>
      <c r="B509" s="761"/>
      <c r="C509" s="755"/>
      <c r="D509" s="733"/>
      <c r="E509" s="806"/>
      <c r="F509" s="523"/>
      <c r="G509" s="757"/>
      <c r="H509" s="757"/>
      <c r="I509" s="762"/>
      <c r="J509" s="748"/>
      <c r="K509" s="807"/>
      <c r="L509" s="382"/>
      <c r="M509" s="763"/>
      <c r="N509" s="763"/>
      <c r="O509" s="762"/>
      <c r="P509" s="762"/>
      <c r="Q509" s="748"/>
      <c r="R509" s="218"/>
      <c r="S509" s="771"/>
      <c r="T509" s="766"/>
      <c r="U509" s="767"/>
      <c r="V509" s="391"/>
      <c r="W509" s="768"/>
      <c r="X509" s="768"/>
      <c r="Y509" s="370"/>
      <c r="Z509" s="370"/>
      <c r="AA509" s="370"/>
      <c r="AB509" s="516"/>
      <c r="AC509" s="237"/>
      <c r="AD509" s="808"/>
      <c r="AE509" s="809"/>
      <c r="AF509" s="810"/>
      <c r="AG509" s="811"/>
      <c r="AH509" s="811"/>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row>
    <row r="510" spans="1:92" s="1" customFormat="1" ht="12.75">
      <c r="A510" s="733"/>
      <c r="B510" s="812"/>
      <c r="C510" s="812"/>
      <c r="D510" s="316"/>
      <c r="E510" s="756"/>
      <c r="F510" s="34"/>
      <c r="G510" s="304"/>
      <c r="H510" s="304"/>
      <c r="I510" s="34"/>
      <c r="J510" s="34"/>
      <c r="K510" s="306"/>
      <c r="L510" s="306"/>
      <c r="M510" s="34"/>
      <c r="N510" s="34"/>
      <c r="O510" s="132"/>
      <c r="P510" s="34"/>
      <c r="Q510" s="34"/>
      <c r="R510" s="159"/>
      <c r="S510" s="771"/>
      <c r="T510" s="766"/>
      <c r="U510" s="767"/>
      <c r="V510" s="391"/>
      <c r="W510" s="768"/>
      <c r="X510" s="768"/>
      <c r="Y510" s="370"/>
      <c r="Z510" s="370"/>
      <c r="AA510" s="370"/>
      <c r="AB510" s="516"/>
      <c r="AC510" s="237"/>
      <c r="AD510" s="205"/>
      <c r="AE510" s="132"/>
      <c r="AF510" s="206"/>
      <c r="AG510" s="704"/>
      <c r="AH510" s="70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row>
    <row r="511" spans="1:92" s="1" customFormat="1" ht="12.75">
      <c r="A511" s="733"/>
      <c r="B511" s="812"/>
      <c r="C511" s="812"/>
      <c r="D511" s="316"/>
      <c r="E511" s="756"/>
      <c r="F511" s="34"/>
      <c r="G511" s="304"/>
      <c r="H511" s="304"/>
      <c r="I511" s="34"/>
      <c r="J511" s="34"/>
      <c r="K511" s="306"/>
      <c r="L511" s="306"/>
      <c r="M511" s="34"/>
      <c r="N511" s="34"/>
      <c r="O511" s="132"/>
      <c r="P511" s="34"/>
      <c r="Q511" s="34"/>
      <c r="R511" s="159"/>
      <c r="S511" s="771"/>
      <c r="T511" s="764"/>
      <c r="U511" s="765"/>
      <c r="V511" s="184"/>
      <c r="W511" s="185"/>
      <c r="X511" s="185"/>
      <c r="Y511" s="170"/>
      <c r="Z511" s="170"/>
      <c r="AA511" s="370"/>
      <c r="AB511" s="516"/>
      <c r="AC511" s="237"/>
      <c r="AD511" s="205"/>
      <c r="AE511" s="132"/>
      <c r="AF511" s="206"/>
      <c r="AG511" s="704"/>
      <c r="AH511" s="70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row>
    <row r="512" spans="1:92" s="1" customFormat="1" ht="12.75">
      <c r="A512" s="733"/>
      <c r="B512" s="812"/>
      <c r="C512" s="812"/>
      <c r="D512" s="316"/>
      <c r="E512" s="756"/>
      <c r="F512" s="34"/>
      <c r="G512" s="304"/>
      <c r="H512" s="304"/>
      <c r="I512" s="34"/>
      <c r="J512" s="34"/>
      <c r="K512" s="306"/>
      <c r="L512" s="306"/>
      <c r="M512" s="34"/>
      <c r="N512" s="34"/>
      <c r="O512" s="132"/>
      <c r="P512" s="34"/>
      <c r="Q512" s="34"/>
      <c r="R512" s="159"/>
      <c r="S512" s="771"/>
      <c r="T512" s="813"/>
      <c r="U512" s="814"/>
      <c r="V512" s="11"/>
      <c r="W512" s="12"/>
      <c r="X512" s="12"/>
      <c r="Y512" s="13"/>
      <c r="Z512" s="13"/>
      <c r="AA512" s="370"/>
      <c r="AB512" s="516"/>
      <c r="AC512" s="237"/>
      <c r="AD512" s="205"/>
      <c r="AE512" s="132"/>
      <c r="AF512" s="206"/>
      <c r="AG512" s="704"/>
      <c r="AH512" s="70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row>
    <row r="513" spans="1:92" s="1" customFormat="1" ht="12.75">
      <c r="A513" s="316"/>
      <c r="B513" s="812"/>
      <c r="C513" s="812"/>
      <c r="D513" s="316"/>
      <c r="E513" s="756"/>
      <c r="F513" s="34"/>
      <c r="G513" s="304"/>
      <c r="H513" s="304"/>
      <c r="I513" s="34"/>
      <c r="J513" s="34"/>
      <c r="K513" s="306"/>
      <c r="L513" s="306"/>
      <c r="M513" s="34"/>
      <c r="N513" s="34"/>
      <c r="O513" s="132"/>
      <c r="P513" s="34"/>
      <c r="Q513" s="34"/>
      <c r="R513" s="159"/>
      <c r="S513" s="771"/>
      <c r="T513" s="813"/>
      <c r="U513" s="814"/>
      <c r="V513" s="11"/>
      <c r="W513" s="12"/>
      <c r="X513" s="12"/>
      <c r="Y513" s="13"/>
      <c r="Z513" s="13"/>
      <c r="AA513" s="370"/>
      <c r="AB513" s="516"/>
      <c r="AC513" s="237"/>
      <c r="AD513" s="205"/>
      <c r="AE513" s="132"/>
      <c r="AF513" s="206"/>
      <c r="AG513" s="704"/>
      <c r="AH513" s="70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row>
    <row r="514" spans="1:92" s="1" customFormat="1" ht="12.75">
      <c r="A514" s="316"/>
      <c r="B514" s="812"/>
      <c r="C514" s="812"/>
      <c r="D514" s="316"/>
      <c r="E514" s="756"/>
      <c r="F514" s="34"/>
      <c r="G514" s="304"/>
      <c r="H514" s="304"/>
      <c r="I514" s="34"/>
      <c r="J514" s="34"/>
      <c r="K514" s="306"/>
      <c r="L514" s="306"/>
      <c r="M514" s="34"/>
      <c r="N514" s="34"/>
      <c r="O514" s="132"/>
      <c r="P514" s="34"/>
      <c r="Q514" s="34"/>
      <c r="R514" s="159"/>
      <c r="S514" s="189"/>
      <c r="T514" s="813"/>
      <c r="U514" s="814"/>
      <c r="V514" s="11"/>
      <c r="W514" s="12"/>
      <c r="X514" s="12"/>
      <c r="Y514" s="13"/>
      <c r="Z514" s="13"/>
      <c r="AA514" s="170"/>
      <c r="AB514" s="19"/>
      <c r="AC514" s="237"/>
      <c r="AD514" s="205"/>
      <c r="AE514" s="132"/>
      <c r="AF514" s="206"/>
      <c r="AG514" s="704"/>
      <c r="AH514" s="70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row>
    <row r="515" spans="1:92" s="1" customFormat="1" ht="12.75">
      <c r="A515" s="316"/>
      <c r="B515" s="812"/>
      <c r="C515" s="812"/>
      <c r="D515" s="316"/>
      <c r="E515" s="756"/>
      <c r="F515" s="34"/>
      <c r="G515" s="304"/>
      <c r="H515" s="304"/>
      <c r="I515" s="34"/>
      <c r="J515" s="34"/>
      <c r="K515" s="306"/>
      <c r="L515" s="306"/>
      <c r="M515" s="34"/>
      <c r="N515" s="34"/>
      <c r="O515" s="132"/>
      <c r="P515" s="34"/>
      <c r="Q515" s="34"/>
      <c r="R515" s="159"/>
      <c r="S515" s="815"/>
      <c r="T515" s="813"/>
      <c r="U515" s="814"/>
      <c r="V515" s="11"/>
      <c r="W515" s="12"/>
      <c r="X515" s="12"/>
      <c r="Y515" s="13"/>
      <c r="Z515" s="13"/>
      <c r="AA515" s="13"/>
      <c r="AB515" s="14"/>
      <c r="AC515" s="237"/>
      <c r="AD515" s="205"/>
      <c r="AE515" s="132"/>
      <c r="AF515" s="160"/>
      <c r="AG515" s="704"/>
      <c r="AH515" s="70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row>
    <row r="516" spans="1:92" s="1" customFormat="1" ht="12.75">
      <c r="A516" s="316"/>
      <c r="B516" s="812"/>
      <c r="C516" s="812"/>
      <c r="D516" s="316"/>
      <c r="E516" s="756"/>
      <c r="F516" s="34"/>
      <c r="G516" s="304"/>
      <c r="H516" s="304"/>
      <c r="I516" s="34"/>
      <c r="J516" s="34"/>
      <c r="K516" s="306"/>
      <c r="L516" s="306"/>
      <c r="M516" s="34"/>
      <c r="N516" s="34"/>
      <c r="O516" s="132"/>
      <c r="P516" s="34"/>
      <c r="Q516" s="34"/>
      <c r="R516" s="159"/>
      <c r="S516" s="815"/>
      <c r="T516" s="813"/>
      <c r="U516" s="814"/>
      <c r="V516" s="11"/>
      <c r="W516" s="12"/>
      <c r="X516" s="12"/>
      <c r="Y516" s="13"/>
      <c r="Z516" s="13"/>
      <c r="AA516" s="13"/>
      <c r="AB516" s="14"/>
      <c r="AC516" s="237"/>
      <c r="AD516" s="205"/>
      <c r="AE516" s="132"/>
      <c r="AF516" s="160"/>
      <c r="AG516" s="704"/>
      <c r="AH516" s="70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row>
    <row r="517" spans="1:92" s="1" customFormat="1" ht="12.75">
      <c r="A517" s="316"/>
      <c r="B517" s="812"/>
      <c r="C517" s="812"/>
      <c r="D517" s="316"/>
      <c r="E517" s="756"/>
      <c r="F517" s="34"/>
      <c r="G517" s="304"/>
      <c r="H517" s="304"/>
      <c r="I517" s="34"/>
      <c r="J517" s="34"/>
      <c r="K517" s="306"/>
      <c r="L517" s="306"/>
      <c r="M517" s="34"/>
      <c r="N517" s="34"/>
      <c r="O517" s="132"/>
      <c r="P517" s="34"/>
      <c r="Q517" s="34"/>
      <c r="R517" s="159"/>
      <c r="S517" s="815"/>
      <c r="T517" s="813"/>
      <c r="U517" s="814"/>
      <c r="V517" s="11"/>
      <c r="W517" s="12"/>
      <c r="X517" s="12"/>
      <c r="Y517" s="13"/>
      <c r="Z517" s="13"/>
      <c r="AA517" s="13"/>
      <c r="AB517" s="14"/>
      <c r="AC517" s="237"/>
      <c r="AD517" s="205"/>
      <c r="AE517" s="132"/>
      <c r="AF517" s="160"/>
      <c r="AG517" s="704"/>
      <c r="AH517" s="70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row>
    <row r="518" spans="1:92" s="1" customFormat="1" ht="15">
      <c r="A518" s="316"/>
      <c r="B518" s="812"/>
      <c r="C518" s="812"/>
      <c r="D518" s="316"/>
      <c r="E518" s="756"/>
      <c r="F518" s="34"/>
      <c r="G518" s="304"/>
      <c r="H518" s="304"/>
      <c r="I518" s="34"/>
      <c r="J518" s="34"/>
      <c r="K518" s="306"/>
      <c r="L518" s="306"/>
      <c r="M518" s="34"/>
      <c r="N518" s="34"/>
      <c r="O518" s="132"/>
      <c r="P518" s="34"/>
      <c r="Q518" s="34"/>
      <c r="R518" s="159"/>
      <c r="S518" s="815"/>
      <c r="T518" s="813"/>
      <c r="U518" s="814"/>
      <c r="V518" s="11"/>
      <c r="W518" s="12"/>
      <c r="X518" s="12"/>
      <c r="Y518" s="13"/>
      <c r="Z518" s="13"/>
      <c r="AA518" s="13"/>
      <c r="AB518" s="14"/>
      <c r="AC518" s="237"/>
      <c r="AD518" s="205"/>
      <c r="AE518" s="206"/>
      <c r="AF518" s="816"/>
      <c r="AG518" s="816"/>
      <c r="AH518" s="817"/>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c r="BH518" s="34"/>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row>
    <row r="519" spans="1:92" s="1" customFormat="1" ht="15">
      <c r="A519" s="316"/>
      <c r="B519" s="812"/>
      <c r="C519" s="812"/>
      <c r="D519" s="316"/>
      <c r="E519" s="756"/>
      <c r="F519" s="34"/>
      <c r="G519" s="304"/>
      <c r="H519" s="304"/>
      <c r="I519" s="34"/>
      <c r="J519" s="34"/>
      <c r="K519" s="306"/>
      <c r="L519" s="306"/>
      <c r="M519" s="34"/>
      <c r="N519" s="34"/>
      <c r="O519" s="132"/>
      <c r="P519" s="34"/>
      <c r="Q519" s="34"/>
      <c r="R519" s="159"/>
      <c r="S519" s="815"/>
      <c r="T519" s="813"/>
      <c r="U519" s="814"/>
      <c r="V519" s="11"/>
      <c r="W519" s="12"/>
      <c r="X519" s="12"/>
      <c r="Y519" s="13"/>
      <c r="Z519" s="13"/>
      <c r="AA519" s="13"/>
      <c r="AB519" s="14"/>
      <c r="AC519" s="237"/>
      <c r="AD519" s="205"/>
      <c r="AE519" s="206"/>
      <c r="AF519" s="816"/>
      <c r="AG519" s="816"/>
      <c r="AH519" s="817"/>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c r="BH519" s="34"/>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row>
    <row r="520" spans="1:92" s="1" customFormat="1" ht="12.75">
      <c r="A520" s="316"/>
      <c r="B520" s="812"/>
      <c r="C520" s="812"/>
      <c r="D520" s="316"/>
      <c r="E520" s="756"/>
      <c r="F520" s="34"/>
      <c r="G520" s="304"/>
      <c r="H520" s="304"/>
      <c r="I520" s="34"/>
      <c r="J520" s="34"/>
      <c r="K520" s="306"/>
      <c r="L520" s="306"/>
      <c r="M520" s="34"/>
      <c r="N520" s="34"/>
      <c r="O520" s="132"/>
      <c r="P520" s="34"/>
      <c r="Q520" s="34"/>
      <c r="R520" s="159"/>
      <c r="S520" s="815"/>
      <c r="T520" s="813"/>
      <c r="U520" s="814"/>
      <c r="V520" s="11"/>
      <c r="W520" s="12"/>
      <c r="X520" s="12"/>
      <c r="Y520" s="13"/>
      <c r="Z520" s="13"/>
      <c r="AA520" s="13"/>
      <c r="AB520" s="14"/>
      <c r="AC520" s="237"/>
      <c r="AD520" s="159"/>
      <c r="AE520" s="132"/>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c r="BH520" s="34"/>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row>
    <row r="521" spans="1:92" s="1" customFormat="1" ht="12.75">
      <c r="A521" s="316"/>
      <c r="B521" s="812"/>
      <c r="C521" s="812"/>
      <c r="D521" s="316"/>
      <c r="E521" s="756"/>
      <c r="F521" s="34"/>
      <c r="G521" s="304"/>
      <c r="H521" s="304"/>
      <c r="I521" s="34"/>
      <c r="J521" s="34"/>
      <c r="K521" s="306"/>
      <c r="L521" s="306"/>
      <c r="M521" s="34"/>
      <c r="N521" s="34"/>
      <c r="O521" s="132"/>
      <c r="P521" s="34"/>
      <c r="Q521" s="34"/>
      <c r="R521" s="159"/>
      <c r="S521" s="815"/>
      <c r="T521" s="813"/>
      <c r="U521" s="814"/>
      <c r="V521" s="11"/>
      <c r="W521" s="12"/>
      <c r="X521" s="12"/>
      <c r="Y521" s="13"/>
      <c r="Z521" s="13"/>
      <c r="AA521" s="13"/>
      <c r="AB521" s="14"/>
      <c r="AC521" s="237"/>
      <c r="AD521" s="818" t="s">
        <v>1745</v>
      </c>
      <c r="AE521" s="819" t="s">
        <v>1746</v>
      </c>
      <c r="AF521" s="819" t="s">
        <v>1747</v>
      </c>
      <c r="AG521" s="819" t="s">
        <v>1748</v>
      </c>
      <c r="AH521" s="820" t="s">
        <v>1749</v>
      </c>
      <c r="AI521" s="820"/>
      <c r="AJ521" s="821"/>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row>
    <row r="522" spans="1:92" s="1" customFormat="1" ht="12.75">
      <c r="A522" s="316"/>
      <c r="B522" s="812"/>
      <c r="C522" s="812"/>
      <c r="D522" s="316"/>
      <c r="E522" s="756"/>
      <c r="F522" s="34"/>
      <c r="G522" s="304"/>
      <c r="H522" s="304"/>
      <c r="I522" s="34"/>
      <c r="J522" s="34"/>
      <c r="K522" s="306"/>
      <c r="L522" s="306"/>
      <c r="M522" s="34"/>
      <c r="N522" s="34"/>
      <c r="O522" s="132"/>
      <c r="P522" s="34"/>
      <c r="Q522" s="34"/>
      <c r="R522" s="159"/>
      <c r="S522" s="815"/>
      <c r="T522" s="813"/>
      <c r="U522" s="814"/>
      <c r="V522" s="11"/>
      <c r="W522" s="12"/>
      <c r="X522" s="12"/>
      <c r="Y522" s="13"/>
      <c r="Z522" s="13"/>
      <c r="AA522" s="13"/>
      <c r="AB522" s="14"/>
      <c r="AC522" s="237"/>
      <c r="AD522" s="822" t="s">
        <v>1750</v>
      </c>
      <c r="AE522" s="823" t="s">
        <v>1751</v>
      </c>
      <c r="AF522" s="823" t="s">
        <v>1752</v>
      </c>
      <c r="AG522" s="823" t="s">
        <v>1753</v>
      </c>
      <c r="AH522" s="824" t="s">
        <v>1754</v>
      </c>
      <c r="AI522" s="824" t="s">
        <v>1755</v>
      </c>
      <c r="AJ522" s="821"/>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c r="BH522" s="34"/>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row>
    <row r="523" spans="1:92" s="1" customFormat="1" ht="25.5" customHeight="1">
      <c r="A523" s="316"/>
      <c r="B523" s="812"/>
      <c r="C523" s="812"/>
      <c r="D523" s="316"/>
      <c r="E523" s="756"/>
      <c r="F523" s="34"/>
      <c r="G523" s="304"/>
      <c r="H523" s="304"/>
      <c r="I523" s="34"/>
      <c r="J523" s="34"/>
      <c r="K523" s="306"/>
      <c r="L523" s="306"/>
      <c r="M523" s="34"/>
      <c r="N523" s="34"/>
      <c r="O523" s="132"/>
      <c r="P523" s="34"/>
      <c r="Q523" s="34"/>
      <c r="R523" s="159"/>
      <c r="S523" s="815"/>
      <c r="T523" s="813"/>
      <c r="U523" s="814"/>
      <c r="V523" s="11"/>
      <c r="W523" s="12"/>
      <c r="X523" s="12"/>
      <c r="Y523" s="13"/>
      <c r="Z523" s="13"/>
      <c r="AA523" s="13"/>
      <c r="AB523" s="14"/>
      <c r="AC523" s="237"/>
      <c r="AD523" s="825"/>
      <c r="AE523" s="824"/>
      <c r="AF523" s="824"/>
      <c r="AG523" s="826"/>
      <c r="AH523" s="826"/>
      <c r="AI523" s="826"/>
      <c r="AJ523" s="827"/>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c r="BH523" s="34"/>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row>
    <row r="524" spans="1:92" s="1" customFormat="1" ht="18" customHeight="1">
      <c r="A524" s="316"/>
      <c r="B524" s="812"/>
      <c r="C524" s="812"/>
      <c r="D524" s="316"/>
      <c r="E524" s="756"/>
      <c r="F524" s="34"/>
      <c r="G524" s="304"/>
      <c r="H524" s="304"/>
      <c r="I524" s="34"/>
      <c r="J524" s="34"/>
      <c r="K524" s="306"/>
      <c r="L524" s="306"/>
      <c r="M524" s="34"/>
      <c r="N524" s="34"/>
      <c r="O524" s="132"/>
      <c r="P524" s="34"/>
      <c r="Q524" s="34"/>
      <c r="R524" s="159"/>
      <c r="S524" s="815"/>
      <c r="T524" s="813"/>
      <c r="U524" s="814"/>
      <c r="V524" s="11"/>
      <c r="W524" s="12"/>
      <c r="X524" s="12"/>
      <c r="Y524" s="13"/>
      <c r="Z524" s="13"/>
      <c r="AA524" s="13"/>
      <c r="AB524" s="14"/>
      <c r="AC524" s="237"/>
      <c r="AD524" s="825" t="s">
        <v>1756</v>
      </c>
      <c r="AE524" s="828" t="s">
        <v>1757</v>
      </c>
      <c r="AF524" s="824" t="s">
        <v>1758</v>
      </c>
      <c r="AG524" s="826">
        <f>cpssp1</f>
        <v>0.45</v>
      </c>
      <c r="AH524" s="826">
        <f>(($Q$89*100/19.6)+$AG$524)*19.6%</f>
        <v>11.8188</v>
      </c>
      <c r="AI524" s="826">
        <f>(($R$89*100/13)+$AG$524)*13%</f>
        <v>7.8389999999999995</v>
      </c>
      <c r="AJ524" s="829">
        <v>5909</v>
      </c>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c r="BH524" s="34"/>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row>
    <row r="525" spans="1:92" s="1" customFormat="1" ht="12.75">
      <c r="A525" s="316"/>
      <c r="B525" s="812"/>
      <c r="C525" s="812"/>
      <c r="D525" s="316"/>
      <c r="E525" s="756"/>
      <c r="F525" s="34"/>
      <c r="G525" s="304"/>
      <c r="H525" s="304"/>
      <c r="I525" s="34"/>
      <c r="J525" s="34"/>
      <c r="K525" s="306"/>
      <c r="L525" s="306"/>
      <c r="M525" s="34"/>
      <c r="N525" s="34"/>
      <c r="O525" s="132"/>
      <c r="P525" s="34"/>
      <c r="Q525" s="34"/>
      <c r="R525" s="159"/>
      <c r="S525" s="815"/>
      <c r="T525" s="813"/>
      <c r="U525" s="814"/>
      <c r="V525" s="11"/>
      <c r="W525" s="12"/>
      <c r="X525" s="12"/>
      <c r="Y525" s="13"/>
      <c r="Z525" s="13"/>
      <c r="AA525" s="13"/>
      <c r="AB525" s="14"/>
      <c r="AC525" s="237"/>
      <c r="AD525" s="830" t="s">
        <v>1759</v>
      </c>
      <c r="AE525" s="819" t="s">
        <v>1760</v>
      </c>
      <c r="AF525" s="819"/>
      <c r="AG525" s="818"/>
      <c r="AH525" s="818"/>
      <c r="AI525" s="818"/>
      <c r="AJ525" s="829"/>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row>
    <row r="526" spans="1:92" s="1" customFormat="1" ht="12.75">
      <c r="A526" s="316"/>
      <c r="B526" s="812"/>
      <c r="C526" s="812"/>
      <c r="D526" s="316"/>
      <c r="E526" s="756"/>
      <c r="F526" s="34"/>
      <c r="G526" s="304"/>
      <c r="H526" s="304"/>
      <c r="I526" s="34"/>
      <c r="J526" s="34"/>
      <c r="K526" s="306"/>
      <c r="L526" s="306"/>
      <c r="M526" s="34"/>
      <c r="N526" s="34"/>
      <c r="O526" s="132"/>
      <c r="P526" s="34"/>
      <c r="Q526" s="34"/>
      <c r="R526" s="159"/>
      <c r="S526" s="815"/>
      <c r="T526" s="813"/>
      <c r="U526" s="814"/>
      <c r="V526" s="11"/>
      <c r="W526" s="12"/>
      <c r="X526" s="12"/>
      <c r="Y526" s="13"/>
      <c r="Z526" s="13"/>
      <c r="AA526" s="13"/>
      <c r="AB526" s="14"/>
      <c r="AC526" s="237"/>
      <c r="AD526" s="831" t="s">
        <v>1761</v>
      </c>
      <c r="AE526" s="832" t="s">
        <v>1762</v>
      </c>
      <c r="AF526" s="832" t="s">
        <v>1763</v>
      </c>
      <c r="AG526" s="833">
        <f>cpssp1</f>
        <v>0.45</v>
      </c>
      <c r="AH526" s="833">
        <f>((Q99*100/19.6)+$AG$526)*19.6%</f>
        <v>17.02456</v>
      </c>
      <c r="AI526" s="833">
        <f>(($R$93*100/13)+$AG$526)*13%</f>
        <v>11.1618</v>
      </c>
      <c r="AJ526" s="829">
        <v>5928</v>
      </c>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row>
    <row r="527" spans="1:92" s="1" customFormat="1" ht="12.75">
      <c r="A527" s="316"/>
      <c r="B527" s="812"/>
      <c r="C527" s="812"/>
      <c r="D527" s="316"/>
      <c r="E527" s="756"/>
      <c r="F527" s="34"/>
      <c r="G527" s="304"/>
      <c r="H527" s="304"/>
      <c r="I527" s="34"/>
      <c r="J527" s="34"/>
      <c r="K527" s="306"/>
      <c r="L527" s="306"/>
      <c r="M527" s="34"/>
      <c r="N527" s="34"/>
      <c r="O527" s="132"/>
      <c r="P527" s="34"/>
      <c r="Q527" s="34"/>
      <c r="R527" s="159"/>
      <c r="S527" s="815"/>
      <c r="T527" s="813"/>
      <c r="U527" s="814"/>
      <c r="V527" s="11"/>
      <c r="W527" s="12"/>
      <c r="X527" s="12"/>
      <c r="Y527" s="13"/>
      <c r="Z527" s="13"/>
      <c r="AA527" s="13"/>
      <c r="AB527" s="14"/>
      <c r="AC527" s="237"/>
      <c r="AD527" s="834" t="s">
        <v>1764</v>
      </c>
      <c r="AE527" s="835"/>
      <c r="AF527" s="823"/>
      <c r="AG527" s="822"/>
      <c r="AH527" s="822"/>
      <c r="AI527" s="822"/>
      <c r="AJ527" s="829"/>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c r="BH527" s="34"/>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row>
    <row r="528" spans="1:92" s="1" customFormat="1" ht="12.75">
      <c r="A528" s="316"/>
      <c r="B528" s="812"/>
      <c r="C528" s="812"/>
      <c r="D528" s="316"/>
      <c r="E528" s="756"/>
      <c r="F528" s="34"/>
      <c r="G528" s="304"/>
      <c r="H528" s="304"/>
      <c r="I528" s="34"/>
      <c r="J528" s="34"/>
      <c r="K528" s="306"/>
      <c r="L528" s="306"/>
      <c r="M528" s="34"/>
      <c r="N528" s="34"/>
      <c r="O528" s="132"/>
      <c r="P528" s="34"/>
      <c r="Q528" s="34"/>
      <c r="R528" s="159"/>
      <c r="S528" s="815"/>
      <c r="T528" s="813"/>
      <c r="U528" s="814"/>
      <c r="V528" s="11"/>
      <c r="W528" s="12"/>
      <c r="X528" s="12"/>
      <c r="Y528" s="13"/>
      <c r="Z528" s="13"/>
      <c r="AA528" s="13"/>
      <c r="AB528" s="14"/>
      <c r="AC528" s="237"/>
      <c r="AD528" s="830" t="s">
        <v>1765</v>
      </c>
      <c r="AE528" s="819"/>
      <c r="AF528" s="819"/>
      <c r="AG528" s="818"/>
      <c r="AH528" s="818"/>
      <c r="AI528" s="818"/>
      <c r="AJ528" s="829"/>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row>
    <row r="529" spans="1:92" s="1" customFormat="1" ht="12.75">
      <c r="A529" s="316"/>
      <c r="B529" s="812"/>
      <c r="C529" s="812"/>
      <c r="D529" s="316"/>
      <c r="E529" s="756"/>
      <c r="F529" s="34"/>
      <c r="G529" s="304"/>
      <c r="H529" s="304"/>
      <c r="I529" s="34"/>
      <c r="J529" s="34"/>
      <c r="K529" s="306"/>
      <c r="L529" s="306"/>
      <c r="M529" s="34"/>
      <c r="N529" s="34"/>
      <c r="O529" s="132"/>
      <c r="P529" s="34"/>
      <c r="Q529" s="34"/>
      <c r="R529" s="159"/>
      <c r="S529" s="815"/>
      <c r="T529" s="813"/>
      <c r="U529" s="814"/>
      <c r="V529" s="11"/>
      <c r="W529" s="12"/>
      <c r="X529" s="12"/>
      <c r="Y529" s="13"/>
      <c r="Z529" s="13"/>
      <c r="AA529" s="13"/>
      <c r="AB529" s="14"/>
      <c r="AC529" s="237"/>
      <c r="AD529" s="831" t="s">
        <v>1766</v>
      </c>
      <c r="AE529" s="832" t="s">
        <v>1767</v>
      </c>
      <c r="AF529" s="832" t="s">
        <v>1768</v>
      </c>
      <c r="AG529" s="833">
        <f>cpssp1</f>
        <v>0.45</v>
      </c>
      <c r="AH529" s="833">
        <f>((Q106*100/19.6)+$AG$529)*19.6%</f>
        <v>17.02456</v>
      </c>
      <c r="AI529" s="833">
        <f>((R106*100/13)+$AG$529)*13%</f>
        <v>11.1618</v>
      </c>
      <c r="AJ529" s="829">
        <v>5960</v>
      </c>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row>
    <row r="530" spans="1:92" s="1" customFormat="1" ht="12.75">
      <c r="A530" s="316"/>
      <c r="B530" s="812"/>
      <c r="C530" s="812"/>
      <c r="D530" s="316"/>
      <c r="E530" s="756"/>
      <c r="F530" s="34"/>
      <c r="G530" s="304"/>
      <c r="H530" s="304"/>
      <c r="I530" s="34"/>
      <c r="J530" s="34"/>
      <c r="K530" s="306"/>
      <c r="L530" s="306"/>
      <c r="M530" s="34"/>
      <c r="N530" s="34"/>
      <c r="O530" s="132"/>
      <c r="P530" s="34"/>
      <c r="Q530" s="34"/>
      <c r="R530" s="159"/>
      <c r="S530" s="815"/>
      <c r="T530" s="813"/>
      <c r="U530" s="814"/>
      <c r="V530" s="11"/>
      <c r="W530" s="12"/>
      <c r="X530" s="12"/>
      <c r="Y530" s="13"/>
      <c r="Z530" s="13"/>
      <c r="AA530" s="13"/>
      <c r="AB530" s="14"/>
      <c r="AC530" s="237"/>
      <c r="AD530" s="831" t="s">
        <v>1769</v>
      </c>
      <c r="AE530" s="832"/>
      <c r="AF530" s="832"/>
      <c r="AG530" s="833"/>
      <c r="AH530" s="833"/>
      <c r="AI530" s="833"/>
      <c r="AJ530" s="829"/>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c r="BH530" s="34"/>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row>
    <row r="531" spans="1:92" s="1" customFormat="1" ht="12.75">
      <c r="A531" s="316"/>
      <c r="B531" s="812"/>
      <c r="C531" s="812"/>
      <c r="D531" s="316"/>
      <c r="E531" s="756"/>
      <c r="F531" s="34"/>
      <c r="G531" s="304"/>
      <c r="H531" s="304"/>
      <c r="I531" s="34"/>
      <c r="J531" s="34"/>
      <c r="K531" s="306"/>
      <c r="L531" s="306"/>
      <c r="M531" s="34"/>
      <c r="N531" s="34"/>
      <c r="O531" s="132"/>
      <c r="P531" s="34"/>
      <c r="Q531" s="34"/>
      <c r="R531" s="159"/>
      <c r="S531" s="815"/>
      <c r="T531" s="813"/>
      <c r="U531" s="814"/>
      <c r="V531" s="11"/>
      <c r="W531" s="12"/>
      <c r="X531" s="12"/>
      <c r="Y531" s="13"/>
      <c r="Z531" s="13"/>
      <c r="AA531" s="13"/>
      <c r="AB531" s="14"/>
      <c r="AC531" s="237"/>
      <c r="AD531" s="834"/>
      <c r="AE531" s="823"/>
      <c r="AF531" s="823"/>
      <c r="AG531" s="822"/>
      <c r="AH531" s="822"/>
      <c r="AI531" s="822"/>
      <c r="AJ531" s="829"/>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c r="BH531" s="34"/>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row>
    <row r="532" spans="1:92" s="1" customFormat="1" ht="12.75">
      <c r="A532" s="316"/>
      <c r="B532" s="812"/>
      <c r="C532" s="812"/>
      <c r="D532" s="316"/>
      <c r="E532" s="756"/>
      <c r="F532" s="34"/>
      <c r="G532" s="304"/>
      <c r="H532" s="304"/>
      <c r="I532" s="34"/>
      <c r="J532" s="34"/>
      <c r="K532" s="306"/>
      <c r="L532" s="306"/>
      <c r="M532" s="34"/>
      <c r="N532" s="34"/>
      <c r="O532" s="132"/>
      <c r="P532" s="34"/>
      <c r="Q532" s="34"/>
      <c r="R532" s="159"/>
      <c r="S532" s="815"/>
      <c r="T532" s="813"/>
      <c r="U532" s="814"/>
      <c r="V532" s="11"/>
      <c r="W532" s="12"/>
      <c r="X532" s="12"/>
      <c r="Y532" s="13"/>
      <c r="Z532" s="13"/>
      <c r="AA532" s="13"/>
      <c r="AB532" s="14"/>
      <c r="AC532" s="237"/>
      <c r="AD532" s="830" t="s">
        <v>1770</v>
      </c>
      <c r="AE532" s="819" t="s">
        <v>1771</v>
      </c>
      <c r="AF532" s="819"/>
      <c r="AG532" s="818"/>
      <c r="AH532" s="818"/>
      <c r="AI532" s="818"/>
      <c r="AJ532" s="829"/>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row>
    <row r="533" spans="1:92" s="1" customFormat="1" ht="12.75">
      <c r="A533" s="316"/>
      <c r="B533" s="812"/>
      <c r="C533" s="812"/>
      <c r="D533" s="316"/>
      <c r="E533" s="756"/>
      <c r="F533" s="34"/>
      <c r="G533" s="304"/>
      <c r="H533" s="304"/>
      <c r="I533" s="34"/>
      <c r="J533" s="34"/>
      <c r="K533" s="306"/>
      <c r="L533" s="306"/>
      <c r="M533" s="34"/>
      <c r="N533" s="34"/>
      <c r="O533" s="132"/>
      <c r="P533" s="34"/>
      <c r="Q533" s="34"/>
      <c r="R533" s="159"/>
      <c r="S533" s="815"/>
      <c r="T533" s="813"/>
      <c r="U533" s="814"/>
      <c r="V533" s="11"/>
      <c r="W533" s="12"/>
      <c r="X533" s="12"/>
      <c r="Y533" s="13"/>
      <c r="Z533" s="13"/>
      <c r="AA533" s="13"/>
      <c r="AB533" s="14"/>
      <c r="AC533" s="237"/>
      <c r="AD533" s="831" t="s">
        <v>1772</v>
      </c>
      <c r="AE533" s="832" t="s">
        <v>1773</v>
      </c>
      <c r="AF533" s="832" t="s">
        <v>1774</v>
      </c>
      <c r="AG533" s="833">
        <f>cpssp1</f>
        <v>0.45</v>
      </c>
      <c r="AH533" s="833">
        <f>(($Q$97*100/19.6)+$AG$533)*19.6%</f>
        <v>18.012400000000003</v>
      </c>
      <c r="AI533" s="833">
        <f>(($R$97*100/13)+$AG$533)*13%</f>
        <v>11.817000000000004</v>
      </c>
      <c r="AJ533" s="829">
        <v>5923</v>
      </c>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row>
    <row r="534" spans="1:92" s="1" customFormat="1" ht="12.75">
      <c r="A534" s="316"/>
      <c r="B534" s="812"/>
      <c r="C534" s="812"/>
      <c r="D534" s="316"/>
      <c r="E534" s="756"/>
      <c r="F534" s="34"/>
      <c r="G534" s="304"/>
      <c r="H534" s="304"/>
      <c r="I534" s="34"/>
      <c r="J534" s="34"/>
      <c r="K534" s="306"/>
      <c r="L534" s="306"/>
      <c r="M534" s="34"/>
      <c r="N534" s="34"/>
      <c r="O534" s="132"/>
      <c r="P534" s="34"/>
      <c r="Q534" s="34"/>
      <c r="R534" s="159"/>
      <c r="S534" s="815"/>
      <c r="T534" s="813"/>
      <c r="U534" s="814"/>
      <c r="V534" s="11"/>
      <c r="W534" s="12"/>
      <c r="X534" s="12"/>
      <c r="Y534" s="13"/>
      <c r="Z534" s="13"/>
      <c r="AA534" s="13"/>
      <c r="AB534" s="14"/>
      <c r="AC534" s="237"/>
      <c r="AD534" s="831" t="s">
        <v>1775</v>
      </c>
      <c r="AE534" s="832" t="s">
        <v>1776</v>
      </c>
      <c r="AF534" s="832"/>
      <c r="AG534" s="833"/>
      <c r="AH534" s="833"/>
      <c r="AI534" s="833"/>
      <c r="AJ534" s="829"/>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row>
    <row r="535" spans="1:92" s="1" customFormat="1" ht="12.75">
      <c r="A535" s="316"/>
      <c r="B535" s="812"/>
      <c r="C535" s="812"/>
      <c r="D535" s="316"/>
      <c r="E535" s="756"/>
      <c r="F535" s="34"/>
      <c r="G535" s="304"/>
      <c r="H535" s="304"/>
      <c r="I535" s="34"/>
      <c r="J535" s="34"/>
      <c r="K535" s="306"/>
      <c r="L535" s="306"/>
      <c r="M535" s="34"/>
      <c r="N535" s="34"/>
      <c r="O535" s="132"/>
      <c r="P535" s="34"/>
      <c r="Q535" s="34"/>
      <c r="R535" s="159"/>
      <c r="S535" s="815"/>
      <c r="T535" s="813"/>
      <c r="U535" s="814"/>
      <c r="V535" s="11"/>
      <c r="W535" s="12"/>
      <c r="X535" s="12"/>
      <c r="Y535" s="13"/>
      <c r="Z535" s="13"/>
      <c r="AA535" s="13"/>
      <c r="AB535" s="14"/>
      <c r="AC535" s="237"/>
      <c r="AD535" s="834"/>
      <c r="AE535" s="823" t="s">
        <v>1777</v>
      </c>
      <c r="AF535" s="823"/>
      <c r="AG535" s="822"/>
      <c r="AH535" s="822"/>
      <c r="AI535" s="822"/>
      <c r="AJ535" s="829"/>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row>
    <row r="536" spans="1:92" s="1" customFormat="1" ht="12.75">
      <c r="A536" s="316"/>
      <c r="B536" s="812"/>
      <c r="C536" s="812"/>
      <c r="D536" s="316"/>
      <c r="E536" s="756"/>
      <c r="F536" s="34"/>
      <c r="G536" s="304"/>
      <c r="H536" s="304"/>
      <c r="I536" s="34"/>
      <c r="J536" s="34"/>
      <c r="K536" s="306"/>
      <c r="L536" s="306"/>
      <c r="M536" s="34"/>
      <c r="N536" s="34"/>
      <c r="O536" s="132"/>
      <c r="P536" s="34"/>
      <c r="Q536" s="34"/>
      <c r="R536" s="159"/>
      <c r="S536" s="815"/>
      <c r="T536" s="813"/>
      <c r="U536" s="814"/>
      <c r="V536" s="11"/>
      <c r="W536" s="12"/>
      <c r="X536" s="12"/>
      <c r="Y536" s="13"/>
      <c r="Z536" s="13"/>
      <c r="AA536" s="13"/>
      <c r="AB536" s="14"/>
      <c r="AC536" s="237"/>
      <c r="AD536" s="830" t="s">
        <v>1778</v>
      </c>
      <c r="AE536" s="819" t="s">
        <v>1779</v>
      </c>
      <c r="AF536" s="819" t="s">
        <v>1780</v>
      </c>
      <c r="AG536" s="818">
        <f>CPSSPIII</f>
        <v>0.59</v>
      </c>
      <c r="AH536" s="818">
        <f>(($Q$116*100/19.6)+$AG$536)*19.6%</f>
        <v>6.248479999999999</v>
      </c>
      <c r="AI536" s="818">
        <f>(($R$116*100/13)+$AG$536)*13%</f>
        <v>4.1444</v>
      </c>
      <c r="AJ536" s="829">
        <v>5901</v>
      </c>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row>
    <row r="537" spans="1:92" s="1" customFormat="1" ht="12.75">
      <c r="A537" s="316"/>
      <c r="B537" s="812"/>
      <c r="C537" s="812"/>
      <c r="D537" s="316"/>
      <c r="E537" s="756"/>
      <c r="F537" s="34"/>
      <c r="G537" s="304"/>
      <c r="H537" s="304"/>
      <c r="I537" s="34"/>
      <c r="J537" s="34"/>
      <c r="K537" s="306"/>
      <c r="L537" s="306"/>
      <c r="M537" s="34"/>
      <c r="N537" s="34"/>
      <c r="O537" s="132"/>
      <c r="P537" s="34"/>
      <c r="Q537" s="34"/>
      <c r="R537" s="159"/>
      <c r="S537" s="815"/>
      <c r="T537" s="813"/>
      <c r="U537" s="814"/>
      <c r="V537" s="11"/>
      <c r="W537" s="12"/>
      <c r="X537" s="12"/>
      <c r="Y537" s="13"/>
      <c r="Z537" s="13"/>
      <c r="AA537" s="13"/>
      <c r="AB537" s="14"/>
      <c r="AC537" s="237"/>
      <c r="AD537" s="834"/>
      <c r="AE537" s="823" t="s">
        <v>1781</v>
      </c>
      <c r="AF537" s="823"/>
      <c r="AG537" s="822"/>
      <c r="AH537" s="822"/>
      <c r="AI537" s="822"/>
      <c r="AJ537" s="829"/>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row>
    <row r="538" spans="1:92" s="1" customFormat="1" ht="12.75">
      <c r="A538" s="316"/>
      <c r="B538" s="812"/>
      <c r="C538" s="812"/>
      <c r="D538" s="316"/>
      <c r="E538" s="756"/>
      <c r="F538" s="34"/>
      <c r="G538" s="304"/>
      <c r="H538" s="304"/>
      <c r="I538" s="34"/>
      <c r="J538" s="34"/>
      <c r="K538" s="306"/>
      <c r="L538" s="306"/>
      <c r="M538" s="34"/>
      <c r="N538" s="34"/>
      <c r="O538" s="132"/>
      <c r="P538" s="34"/>
      <c r="Q538" s="34"/>
      <c r="R538" s="159"/>
      <c r="S538" s="815"/>
      <c r="T538" s="813"/>
      <c r="U538" s="814"/>
      <c r="V538" s="11"/>
      <c r="W538" s="12"/>
      <c r="X538" s="12"/>
      <c r="Y538" s="13"/>
      <c r="Z538" s="13"/>
      <c r="AA538" s="13"/>
      <c r="AB538" s="14"/>
      <c r="AC538" s="237"/>
      <c r="AD538" s="830" t="s">
        <v>1782</v>
      </c>
      <c r="AE538" s="819" t="s">
        <v>1783</v>
      </c>
      <c r="AF538" s="819" t="s">
        <v>1784</v>
      </c>
      <c r="AG538" s="818">
        <f>CPSSPIII</f>
        <v>0.59</v>
      </c>
      <c r="AH538" s="818">
        <f>(($Q$117*100/19.6)+$AG$538)*19.6%</f>
        <v>7.03444</v>
      </c>
      <c r="AI538" s="818">
        <f>(($R$117*100/13)+$AG$538)*13%</f>
        <v>4.6657</v>
      </c>
      <c r="AJ538" s="829">
        <v>5919</v>
      </c>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c r="BH538" s="34"/>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row>
    <row r="539" spans="1:92" s="1" customFormat="1" ht="12.75">
      <c r="A539" s="316"/>
      <c r="B539" s="812"/>
      <c r="C539" s="812"/>
      <c r="D539" s="316"/>
      <c r="E539" s="756"/>
      <c r="F539" s="34"/>
      <c r="G539" s="304"/>
      <c r="H539" s="304"/>
      <c r="I539" s="34"/>
      <c r="J539" s="34"/>
      <c r="K539" s="306"/>
      <c r="L539" s="306"/>
      <c r="M539" s="34"/>
      <c r="N539" s="34"/>
      <c r="O539" s="132"/>
      <c r="P539" s="34"/>
      <c r="Q539" s="34"/>
      <c r="R539" s="159"/>
      <c r="S539" s="815"/>
      <c r="T539" s="813"/>
      <c r="U539" s="814"/>
      <c r="V539" s="11"/>
      <c r="W539" s="12"/>
      <c r="X539" s="12"/>
      <c r="Y539" s="13"/>
      <c r="Z539" s="13"/>
      <c r="AA539" s="13"/>
      <c r="AB539" s="14"/>
      <c r="AC539" s="237"/>
      <c r="AD539" s="834" t="s">
        <v>1785</v>
      </c>
      <c r="AE539" s="823" t="s">
        <v>1786</v>
      </c>
      <c r="AF539" s="823"/>
      <c r="AG539" s="822"/>
      <c r="AH539" s="822"/>
      <c r="AI539" s="822"/>
      <c r="AJ539" s="829"/>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c r="BH539" s="34"/>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row>
    <row r="540" spans="1:92" s="1" customFormat="1" ht="12.75">
      <c r="A540" s="316"/>
      <c r="B540" s="812"/>
      <c r="C540" s="812"/>
      <c r="D540" s="316"/>
      <c r="E540" s="756"/>
      <c r="F540" s="34"/>
      <c r="G540" s="304"/>
      <c r="H540" s="304"/>
      <c r="I540" s="34"/>
      <c r="J540" s="34"/>
      <c r="K540" s="306"/>
      <c r="L540" s="306"/>
      <c r="M540" s="34"/>
      <c r="N540" s="34"/>
      <c r="O540" s="132"/>
      <c r="P540" s="34"/>
      <c r="Q540" s="34"/>
      <c r="R540" s="159"/>
      <c r="S540" s="815"/>
      <c r="T540" s="813"/>
      <c r="U540" s="814"/>
      <c r="V540" s="11"/>
      <c r="W540" s="12"/>
      <c r="X540" s="12"/>
      <c r="Y540" s="13"/>
      <c r="Z540" s="13"/>
      <c r="AA540" s="13"/>
      <c r="AB540" s="14"/>
      <c r="AC540" s="237"/>
      <c r="AD540" s="836" t="s">
        <v>1787</v>
      </c>
      <c r="AE540" s="837" t="s">
        <v>1788</v>
      </c>
      <c r="AF540" s="837" t="s">
        <v>1789</v>
      </c>
      <c r="AG540" s="838">
        <f>CPSSPIII</f>
        <v>0.59</v>
      </c>
      <c r="AH540" s="826">
        <f>(($Q$119*100/19.6)+$AG$540)*19.6%</f>
        <v>18.08492</v>
      </c>
      <c r="AI540" s="826">
        <f>(($R$119*100/13)+$AG$540)*13%</f>
        <v>11.995100000000003</v>
      </c>
      <c r="AJ540" s="829">
        <v>5905</v>
      </c>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c r="BH540" s="34"/>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row>
    <row r="541" spans="1:92" s="1" customFormat="1" ht="12.75">
      <c r="A541" s="316"/>
      <c r="B541" s="812"/>
      <c r="C541" s="812"/>
      <c r="D541" s="316"/>
      <c r="E541" s="756"/>
      <c r="F541" s="34"/>
      <c r="G541" s="304"/>
      <c r="H541" s="304"/>
      <c r="I541" s="34"/>
      <c r="J541" s="34"/>
      <c r="K541" s="306"/>
      <c r="L541" s="306"/>
      <c r="M541" s="34"/>
      <c r="N541" s="34"/>
      <c r="O541" s="132"/>
      <c r="P541" s="34"/>
      <c r="Q541" s="34"/>
      <c r="R541" s="159"/>
      <c r="S541" s="815"/>
      <c r="T541" s="813"/>
      <c r="U541" s="814"/>
      <c r="V541" s="11"/>
      <c r="W541" s="12"/>
      <c r="X541" s="12"/>
      <c r="Y541" s="13"/>
      <c r="Z541" s="13"/>
      <c r="AA541" s="13"/>
      <c r="AB541" s="14"/>
      <c r="AC541" s="237"/>
      <c r="AD541" s="839" t="s">
        <v>1790</v>
      </c>
      <c r="AE541" s="824" t="s">
        <v>1791</v>
      </c>
      <c r="AF541" s="824" t="s">
        <v>1792</v>
      </c>
      <c r="AG541" s="826">
        <f>CPSSPIII</f>
        <v>0.59</v>
      </c>
      <c r="AH541" s="826">
        <f>(($Q$139*100/19.6)+$AG$541)*19.6%</f>
        <v>14.70784</v>
      </c>
      <c r="AI541" s="826">
        <f>(($R$139*100/13)+$AG$541)*13%</f>
        <v>9.755199999999999</v>
      </c>
      <c r="AJ541" s="829">
        <v>5950</v>
      </c>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c r="BH541" s="34"/>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row>
    <row r="542" spans="1:92" s="1" customFormat="1" ht="12.75">
      <c r="A542" s="316"/>
      <c r="B542" s="812"/>
      <c r="C542" s="812"/>
      <c r="D542" s="316"/>
      <c r="E542" s="756"/>
      <c r="F542" s="34"/>
      <c r="G542" s="304"/>
      <c r="H542" s="304"/>
      <c r="I542" s="34"/>
      <c r="J542" s="34"/>
      <c r="K542" s="306"/>
      <c r="L542" s="306"/>
      <c r="M542" s="34"/>
      <c r="N542" s="34"/>
      <c r="O542" s="132"/>
      <c r="P542" s="34"/>
      <c r="Q542" s="34"/>
      <c r="R542" s="159"/>
      <c r="S542" s="815"/>
      <c r="T542" s="813"/>
      <c r="U542" s="814"/>
      <c r="V542" s="11"/>
      <c r="W542" s="12"/>
      <c r="X542" s="12"/>
      <c r="Y542" s="13"/>
      <c r="Z542" s="13"/>
      <c r="AA542" s="13"/>
      <c r="AB542" s="14"/>
      <c r="AC542" s="237"/>
      <c r="AD542" s="830" t="s">
        <v>1793</v>
      </c>
      <c r="AE542" s="819" t="s">
        <v>1794</v>
      </c>
      <c r="AF542" s="819" t="s">
        <v>1795</v>
      </c>
      <c r="AG542" s="818">
        <f>CPSSPII</f>
        <v>0.45</v>
      </c>
      <c r="AH542" s="818">
        <f>(($Q$142*100/19.6)+$AG$542)*19.6%</f>
        <v>7.618520000000001</v>
      </c>
      <c r="AI542" s="818">
        <f>(($R$142*100/13)+$AG$542)*13%</f>
        <v>5.053100000000001</v>
      </c>
      <c r="AJ542" s="829">
        <v>5921</v>
      </c>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row>
    <row r="543" spans="1:92" s="1" customFormat="1" ht="12.75">
      <c r="A543" s="316"/>
      <c r="B543" s="812"/>
      <c r="C543" s="812"/>
      <c r="D543" s="316"/>
      <c r="E543" s="756"/>
      <c r="F543" s="34"/>
      <c r="G543" s="304"/>
      <c r="H543" s="304"/>
      <c r="I543" s="34"/>
      <c r="J543" s="34"/>
      <c r="K543" s="306"/>
      <c r="L543" s="306"/>
      <c r="M543" s="34"/>
      <c r="N543" s="34"/>
      <c r="O543" s="132"/>
      <c r="P543" s="34"/>
      <c r="Q543" s="34"/>
      <c r="R543" s="159"/>
      <c r="S543" s="815"/>
      <c r="T543" s="813"/>
      <c r="U543" s="814"/>
      <c r="V543" s="11"/>
      <c r="W543" s="12"/>
      <c r="X543" s="12"/>
      <c r="Y543" s="13"/>
      <c r="Z543" s="13"/>
      <c r="AA543" s="13"/>
      <c r="AB543" s="14"/>
      <c r="AC543" s="237"/>
      <c r="AD543" s="834"/>
      <c r="AE543" s="823" t="s">
        <v>1796</v>
      </c>
      <c r="AF543" s="823"/>
      <c r="AG543" s="822"/>
      <c r="AH543" s="822"/>
      <c r="AI543" s="822"/>
      <c r="AJ543" s="829"/>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c r="BH543" s="34"/>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row>
    <row r="544" spans="1:92" s="1" customFormat="1" ht="12.75">
      <c r="A544" s="316"/>
      <c r="B544" s="812"/>
      <c r="C544" s="812"/>
      <c r="D544" s="316"/>
      <c r="E544" s="756"/>
      <c r="F544" s="34"/>
      <c r="G544" s="304"/>
      <c r="H544" s="304"/>
      <c r="I544" s="34"/>
      <c r="J544" s="34"/>
      <c r="K544" s="306"/>
      <c r="L544" s="306"/>
      <c r="M544" s="34"/>
      <c r="N544" s="34"/>
      <c r="O544" s="132"/>
      <c r="P544" s="34"/>
      <c r="Q544" s="34"/>
      <c r="R544" s="159"/>
      <c r="S544" s="815"/>
      <c r="T544" s="813"/>
      <c r="U544" s="814"/>
      <c r="V544" s="11"/>
      <c r="W544" s="12"/>
      <c r="X544" s="12"/>
      <c r="Y544" s="13"/>
      <c r="Z544" s="13"/>
      <c r="AA544" s="13"/>
      <c r="AB544" s="14"/>
      <c r="AC544" s="237"/>
      <c r="AD544" s="839" t="s">
        <v>1797</v>
      </c>
      <c r="AE544" s="824" t="s">
        <v>1798</v>
      </c>
      <c r="AF544" s="824" t="s">
        <v>1799</v>
      </c>
      <c r="AG544" s="826">
        <f>CPSSPII</f>
        <v>0.45</v>
      </c>
      <c r="AH544" s="826">
        <f>(($Q$144*100/19.6)+$AG$544)*19.6%</f>
        <v>14.680399999999999</v>
      </c>
      <c r="AI544" s="826">
        <f>(($R$144*100/13)+$AG$544)*13%</f>
        <v>9.737</v>
      </c>
      <c r="AJ544" s="829">
        <v>5925</v>
      </c>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c r="BH544" s="34"/>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row>
    <row r="545" spans="1:92" s="1" customFormat="1" ht="12.75">
      <c r="A545" s="316"/>
      <c r="B545" s="812"/>
      <c r="C545" s="812"/>
      <c r="D545" s="316"/>
      <c r="E545" s="756"/>
      <c r="F545" s="34"/>
      <c r="G545" s="304"/>
      <c r="H545" s="304"/>
      <c r="I545" s="34"/>
      <c r="J545" s="34"/>
      <c r="K545" s="306"/>
      <c r="L545" s="306"/>
      <c r="M545" s="34"/>
      <c r="N545" s="34"/>
      <c r="O545" s="132"/>
      <c r="P545" s="34"/>
      <c r="Q545" s="34"/>
      <c r="R545" s="159"/>
      <c r="S545" s="815"/>
      <c r="T545" s="813"/>
      <c r="U545" s="814"/>
      <c r="V545" s="11"/>
      <c r="W545" s="12"/>
      <c r="X545" s="12"/>
      <c r="Y545" s="13"/>
      <c r="Z545" s="13"/>
      <c r="AA545" s="13"/>
      <c r="AB545" s="14"/>
      <c r="AC545" s="237"/>
      <c r="AD545" s="830" t="s">
        <v>1800</v>
      </c>
      <c r="AE545" s="819" t="s">
        <v>1801</v>
      </c>
      <c r="AF545" s="819" t="s">
        <v>1802</v>
      </c>
      <c r="AG545" s="818">
        <f>CPSSPII</f>
        <v>0.45</v>
      </c>
      <c r="AH545" s="818">
        <f>(($Q$157*100/19.6)+$AG$545)*19.6%</f>
        <v>7.477400000000001</v>
      </c>
      <c r="AI545" s="818">
        <f>(($R$157*100/13)+$AG$545)*13%</f>
        <v>4.959500000000001</v>
      </c>
      <c r="AJ545" s="829">
        <v>5936</v>
      </c>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c r="BH545" s="34"/>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row>
    <row r="546" spans="1:92" s="1" customFormat="1" ht="12.75">
      <c r="A546" s="316"/>
      <c r="B546" s="812"/>
      <c r="C546" s="812"/>
      <c r="D546" s="316"/>
      <c r="E546" s="756"/>
      <c r="F546" s="34"/>
      <c r="G546" s="304"/>
      <c r="H546" s="304"/>
      <c r="I546" s="34"/>
      <c r="J546" s="34"/>
      <c r="K546" s="306"/>
      <c r="L546" s="306"/>
      <c r="M546" s="34"/>
      <c r="N546" s="34"/>
      <c r="O546" s="132"/>
      <c r="P546" s="34"/>
      <c r="Q546" s="34"/>
      <c r="R546" s="159"/>
      <c r="S546" s="815"/>
      <c r="T546" s="813"/>
      <c r="U546" s="814"/>
      <c r="V546" s="11"/>
      <c r="W546" s="12"/>
      <c r="X546" s="12"/>
      <c r="Y546" s="13"/>
      <c r="Z546" s="13"/>
      <c r="AA546" s="13"/>
      <c r="AB546" s="14"/>
      <c r="AC546" s="237"/>
      <c r="AD546" s="834"/>
      <c r="AE546" s="823"/>
      <c r="AF546" s="823"/>
      <c r="AG546" s="822"/>
      <c r="AH546" s="822"/>
      <c r="AI546" s="822"/>
      <c r="AJ546" s="829"/>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row>
    <row r="547" spans="1:92" s="1" customFormat="1" ht="12.75">
      <c r="A547" s="316"/>
      <c r="B547" s="812"/>
      <c r="C547" s="812"/>
      <c r="D547" s="316"/>
      <c r="E547" s="756"/>
      <c r="F547" s="34"/>
      <c r="G547" s="304"/>
      <c r="H547" s="304"/>
      <c r="I547" s="34"/>
      <c r="J547" s="34"/>
      <c r="K547" s="306"/>
      <c r="L547" s="306"/>
      <c r="M547" s="34"/>
      <c r="N547" s="34"/>
      <c r="O547" s="132"/>
      <c r="P547" s="34"/>
      <c r="Q547" s="34"/>
      <c r="R547" s="159"/>
      <c r="S547" s="815"/>
      <c r="T547" s="813"/>
      <c r="U547" s="814"/>
      <c r="V547" s="11"/>
      <c r="W547" s="12"/>
      <c r="X547" s="12"/>
      <c r="Y547" s="13"/>
      <c r="Z547" s="13"/>
      <c r="AA547" s="13"/>
      <c r="AB547" s="14"/>
      <c r="AC547" s="237"/>
      <c r="AD547" s="830" t="s">
        <v>1803</v>
      </c>
      <c r="AE547" s="819" t="s">
        <v>1804</v>
      </c>
      <c r="AF547" s="819" t="s">
        <v>1805</v>
      </c>
      <c r="AG547" s="818">
        <f>CPSSPII</f>
        <v>0.45</v>
      </c>
      <c r="AH547" s="818">
        <f>(($Q$164*100/19.6)+$AG$547)*19.6%</f>
        <v>7.01876</v>
      </c>
      <c r="AI547" s="818">
        <f>(($R$164*100/13)+$AG$547)*13%</f>
        <v>4.6553</v>
      </c>
      <c r="AJ547" s="829">
        <v>5911</v>
      </c>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c r="BH547" s="34"/>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row>
    <row r="548" spans="1:92" s="1" customFormat="1" ht="12.75">
      <c r="A548" s="316"/>
      <c r="B548" s="812"/>
      <c r="C548" s="812"/>
      <c r="D548" s="316"/>
      <c r="E548" s="756"/>
      <c r="F548" s="34"/>
      <c r="G548" s="304"/>
      <c r="H548" s="304"/>
      <c r="I548" s="34"/>
      <c r="J548" s="34"/>
      <c r="K548" s="306"/>
      <c r="L548" s="306"/>
      <c r="M548" s="34"/>
      <c r="N548" s="34"/>
      <c r="O548" s="132"/>
      <c r="P548" s="34"/>
      <c r="Q548" s="34"/>
      <c r="R548" s="159"/>
      <c r="S548" s="815"/>
      <c r="T548" s="813"/>
      <c r="U548" s="814"/>
      <c r="V548" s="11"/>
      <c r="W548" s="12"/>
      <c r="X548" s="12"/>
      <c r="Y548" s="13"/>
      <c r="Z548" s="13"/>
      <c r="AA548" s="13"/>
      <c r="AB548" s="14"/>
      <c r="AC548" s="237"/>
      <c r="AD548" s="834"/>
      <c r="AE548" s="823"/>
      <c r="AF548" s="823"/>
      <c r="AG548" s="822"/>
      <c r="AH548" s="822"/>
      <c r="AI548" s="822"/>
      <c r="AJ548" s="829"/>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c r="BH548" s="34"/>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row>
    <row r="549" spans="1:92" s="1" customFormat="1" ht="12.75">
      <c r="A549" s="316"/>
      <c r="B549" s="812"/>
      <c r="C549" s="812"/>
      <c r="D549" s="316"/>
      <c r="E549" s="756"/>
      <c r="F549" s="34"/>
      <c r="G549" s="304"/>
      <c r="H549" s="304"/>
      <c r="I549" s="34"/>
      <c r="J549" s="34"/>
      <c r="K549" s="306"/>
      <c r="L549" s="306"/>
      <c r="M549" s="34"/>
      <c r="N549" s="34"/>
      <c r="O549" s="132"/>
      <c r="P549" s="34"/>
      <c r="Q549" s="34"/>
      <c r="R549" s="159"/>
      <c r="S549" s="815"/>
      <c r="T549" s="813"/>
      <c r="U549" s="814"/>
      <c r="V549" s="11"/>
      <c r="W549" s="12"/>
      <c r="X549" s="12"/>
      <c r="Y549" s="13"/>
      <c r="Z549" s="13"/>
      <c r="AA549" s="13"/>
      <c r="AB549" s="14"/>
      <c r="AC549" s="237"/>
      <c r="AD549" s="830" t="s">
        <v>1806</v>
      </c>
      <c r="AE549" s="819" t="s">
        <v>1807</v>
      </c>
      <c r="AF549" s="819" t="s">
        <v>1808</v>
      </c>
      <c r="AG549" s="818">
        <f>CPSSPII</f>
        <v>0.45</v>
      </c>
      <c r="AH549" s="818">
        <f>(($Q$161*100/19.6)+$AG$549)*19.6%</f>
        <v>14.53928</v>
      </c>
      <c r="AI549" s="818">
        <f>(($R$161*100/13)+$AG$549)*13%</f>
        <v>9.6434</v>
      </c>
      <c r="AJ549" s="829">
        <v>5937</v>
      </c>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row>
    <row r="550" spans="1:92" s="1" customFormat="1" ht="12.75">
      <c r="A550" s="316"/>
      <c r="B550" s="812"/>
      <c r="C550" s="812"/>
      <c r="D550" s="316"/>
      <c r="E550" s="756"/>
      <c r="F550" s="34"/>
      <c r="G550" s="304"/>
      <c r="H550" s="304"/>
      <c r="I550" s="34"/>
      <c r="J550" s="34"/>
      <c r="K550" s="306"/>
      <c r="L550" s="306"/>
      <c r="M550" s="34"/>
      <c r="N550" s="34"/>
      <c r="O550" s="132"/>
      <c r="P550" s="34"/>
      <c r="Q550" s="34"/>
      <c r="R550" s="159"/>
      <c r="S550" s="815"/>
      <c r="T550" s="813"/>
      <c r="U550" s="814"/>
      <c r="V550" s="11"/>
      <c r="W550" s="12"/>
      <c r="X550" s="12"/>
      <c r="Y550" s="13"/>
      <c r="Z550" s="13"/>
      <c r="AA550" s="13"/>
      <c r="AB550" s="14"/>
      <c r="AC550" s="237"/>
      <c r="AD550" s="834"/>
      <c r="AE550" s="823" t="s">
        <v>1809</v>
      </c>
      <c r="AF550" s="823"/>
      <c r="AG550" s="822"/>
      <c r="AH550" s="822"/>
      <c r="AI550" s="822"/>
      <c r="AJ550" s="829"/>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c r="BH550" s="34"/>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row>
    <row r="551" spans="1:92" s="1" customFormat="1" ht="12.75">
      <c r="A551" s="316"/>
      <c r="B551" s="812"/>
      <c r="C551" s="812"/>
      <c r="D551" s="316"/>
      <c r="E551" s="756"/>
      <c r="F551" s="34"/>
      <c r="G551" s="304"/>
      <c r="H551" s="304"/>
      <c r="I551" s="34"/>
      <c r="J551" s="34"/>
      <c r="K551" s="306"/>
      <c r="L551" s="306"/>
      <c r="M551" s="34"/>
      <c r="N551" s="34"/>
      <c r="O551" s="132"/>
      <c r="P551" s="34"/>
      <c r="Q551" s="34"/>
      <c r="R551" s="159"/>
      <c r="S551" s="815"/>
      <c r="T551" s="813"/>
      <c r="U551" s="814"/>
      <c r="V551" s="11"/>
      <c r="W551" s="12"/>
      <c r="X551" s="12"/>
      <c r="Y551" s="13"/>
      <c r="Z551" s="13"/>
      <c r="AA551" s="13"/>
      <c r="AB551" s="14"/>
      <c r="AC551" s="237"/>
      <c r="AD551" s="825" t="s">
        <v>1810</v>
      </c>
      <c r="AE551" s="824" t="s">
        <v>1811</v>
      </c>
      <c r="AF551" s="824" t="s">
        <v>1812</v>
      </c>
      <c r="AG551" s="826">
        <f>CPSSPII</f>
        <v>0.45</v>
      </c>
      <c r="AH551" s="826">
        <f>(($Q$166*100/19.6)+$AG$551)*19.6%</f>
        <v>14.28448</v>
      </c>
      <c r="AI551" s="826">
        <f>(($R$166*100/13)+$AG$551)*13%</f>
        <v>9.4744</v>
      </c>
      <c r="AJ551" s="829">
        <v>5934</v>
      </c>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c r="BH551" s="34"/>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row>
    <row r="552" spans="1:92" s="1" customFormat="1" ht="12.75">
      <c r="A552" s="316"/>
      <c r="B552" s="812"/>
      <c r="C552" s="812"/>
      <c r="D552" s="316"/>
      <c r="E552" s="756"/>
      <c r="F552" s="34"/>
      <c r="G552" s="304"/>
      <c r="H552" s="304"/>
      <c r="I552" s="34"/>
      <c r="J552" s="34"/>
      <c r="K552" s="306"/>
      <c r="L552" s="306"/>
      <c r="M552" s="34"/>
      <c r="N552" s="34"/>
      <c r="O552" s="132"/>
      <c r="P552" s="34"/>
      <c r="Q552" s="34"/>
      <c r="R552" s="159"/>
      <c r="S552" s="815"/>
      <c r="T552" s="813"/>
      <c r="U552" s="814"/>
      <c r="V552" s="11"/>
      <c r="W552" s="12"/>
      <c r="X552" s="12"/>
      <c r="Y552" s="13"/>
      <c r="Z552" s="13"/>
      <c r="AA552" s="13"/>
      <c r="AB552" s="14"/>
      <c r="AC552" s="237"/>
      <c r="AD552" s="839" t="s">
        <v>1813</v>
      </c>
      <c r="AE552" s="824" t="s">
        <v>1814</v>
      </c>
      <c r="AF552" s="824" t="s">
        <v>1815</v>
      </c>
      <c r="AG552" s="826">
        <f>CPSSPII</f>
        <v>0.45</v>
      </c>
      <c r="AH552" s="826">
        <f>(($Q$169*100/19.6)+$AG$552)*19.6%</f>
        <v>14.28448</v>
      </c>
      <c r="AI552" s="826">
        <f>(($R$169*100/13)+$AG$552)*13%</f>
        <v>9.4744</v>
      </c>
      <c r="AJ552" s="829">
        <v>5934</v>
      </c>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c r="BH552" s="34"/>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row>
    <row r="553" spans="1:92" s="1" customFormat="1" ht="12.75">
      <c r="A553" s="316"/>
      <c r="B553" s="812"/>
      <c r="C553" s="812"/>
      <c r="D553" s="316"/>
      <c r="E553" s="756"/>
      <c r="F553" s="34"/>
      <c r="G553" s="304"/>
      <c r="H553" s="304"/>
      <c r="I553" s="34"/>
      <c r="J553" s="34"/>
      <c r="K553" s="306"/>
      <c r="L553" s="306"/>
      <c r="M553" s="34"/>
      <c r="N553" s="34"/>
      <c r="O553" s="132"/>
      <c r="P553" s="34"/>
      <c r="Q553" s="34"/>
      <c r="R553" s="159"/>
      <c r="S553" s="815"/>
      <c r="T553" s="813"/>
      <c r="U553" s="814"/>
      <c r="V553" s="11"/>
      <c r="W553" s="12"/>
      <c r="X553" s="12"/>
      <c r="Y553" s="13"/>
      <c r="Z553" s="13"/>
      <c r="AA553" s="13"/>
      <c r="AB553" s="14"/>
      <c r="AC553" s="237"/>
      <c r="AD553" s="830" t="s">
        <v>1816</v>
      </c>
      <c r="AE553" s="819" t="s">
        <v>1817</v>
      </c>
      <c r="AF553" s="819" t="s">
        <v>1818</v>
      </c>
      <c r="AG553" s="818">
        <f>CPSSPIV</f>
        <v>0.65</v>
      </c>
      <c r="AH553" s="818">
        <f>(($Q$181*100/19.6)+$AG$553)*19.6%</f>
        <v>3.96704</v>
      </c>
      <c r="AI553" s="818">
        <f>(($R$181*100/13)+$AG$553)*13%</f>
        <v>2.6311999999999998</v>
      </c>
      <c r="AJ553" s="829">
        <v>5948</v>
      </c>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row>
    <row r="554" spans="1:92" s="1" customFormat="1" ht="12.75">
      <c r="A554" s="316"/>
      <c r="B554" s="812"/>
      <c r="C554" s="812"/>
      <c r="D554" s="316"/>
      <c r="E554" s="756"/>
      <c r="F554" s="34"/>
      <c r="G554" s="304"/>
      <c r="H554" s="304"/>
      <c r="I554" s="34"/>
      <c r="J554" s="34"/>
      <c r="K554" s="306"/>
      <c r="L554" s="306"/>
      <c r="M554" s="34"/>
      <c r="N554" s="34"/>
      <c r="O554" s="132"/>
      <c r="P554" s="34"/>
      <c r="Q554" s="34"/>
      <c r="R554" s="159"/>
      <c r="S554" s="815"/>
      <c r="T554" s="813"/>
      <c r="U554" s="814"/>
      <c r="V554" s="11"/>
      <c r="W554" s="12"/>
      <c r="X554" s="12"/>
      <c r="Y554" s="13"/>
      <c r="Z554" s="13"/>
      <c r="AA554" s="13"/>
      <c r="AB554" s="14"/>
      <c r="AC554" s="237"/>
      <c r="AD554" s="834"/>
      <c r="AE554" s="823" t="s">
        <v>1819</v>
      </c>
      <c r="AF554" s="823"/>
      <c r="AG554" s="822"/>
      <c r="AH554" s="822"/>
      <c r="AI554" s="822"/>
      <c r="AJ554" s="829"/>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c r="BH554" s="34"/>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row>
    <row r="555" spans="1:92" s="1" customFormat="1" ht="12.75">
      <c r="A555" s="316"/>
      <c r="B555" s="812"/>
      <c r="C555" s="812"/>
      <c r="D555" s="316"/>
      <c r="E555" s="756"/>
      <c r="F555" s="34"/>
      <c r="G555" s="304"/>
      <c r="H555" s="304"/>
      <c r="I555" s="34"/>
      <c r="J555" s="34"/>
      <c r="K555" s="306"/>
      <c r="L555" s="306"/>
      <c r="M555" s="34"/>
      <c r="N555" s="34"/>
      <c r="O555" s="132"/>
      <c r="P555" s="34"/>
      <c r="Q555" s="34"/>
      <c r="R555" s="159"/>
      <c r="S555" s="815"/>
      <c r="T555" s="813"/>
      <c r="U555" s="814"/>
      <c r="V555" s="11"/>
      <c r="W555" s="12"/>
      <c r="X555" s="12"/>
      <c r="Y555" s="13"/>
      <c r="Z555" s="13"/>
      <c r="AA555" s="13"/>
      <c r="AB555" s="14"/>
      <c r="AC555" s="237"/>
      <c r="AD555" s="834"/>
      <c r="AE555" s="823" t="s">
        <v>1820</v>
      </c>
      <c r="AF555" s="823"/>
      <c r="AG555" s="822"/>
      <c r="AH555" s="822"/>
      <c r="AI555" s="822"/>
      <c r="AJ555" s="829"/>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c r="BH555" s="34"/>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row>
    <row r="556" spans="1:92" s="1" customFormat="1" ht="12.75">
      <c r="A556" s="316"/>
      <c r="B556" s="812"/>
      <c r="C556" s="812"/>
      <c r="D556" s="316"/>
      <c r="E556" s="756"/>
      <c r="F556" s="34"/>
      <c r="G556" s="304"/>
      <c r="H556" s="304"/>
      <c r="I556" s="34"/>
      <c r="J556" s="34"/>
      <c r="K556" s="306"/>
      <c r="L556" s="306"/>
      <c r="M556" s="34"/>
      <c r="N556" s="34"/>
      <c r="O556" s="132"/>
      <c r="P556" s="34"/>
      <c r="Q556" s="34"/>
      <c r="R556" s="159"/>
      <c r="S556" s="815"/>
      <c r="T556" s="813"/>
      <c r="U556" s="814"/>
      <c r="V556" s="11"/>
      <c r="W556" s="12"/>
      <c r="X556" s="12"/>
      <c r="Y556" s="13"/>
      <c r="Z556" s="13"/>
      <c r="AA556" s="13"/>
      <c r="AB556" s="14"/>
      <c r="AC556" s="237"/>
      <c r="AD556" s="834"/>
      <c r="AE556" s="823" t="s">
        <v>1821</v>
      </c>
      <c r="AF556" s="823"/>
      <c r="AG556" s="822"/>
      <c r="AH556" s="822"/>
      <c r="AI556" s="822"/>
      <c r="AJ556" s="829"/>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row>
    <row r="557" spans="1:92" s="1" customFormat="1" ht="12.75">
      <c r="A557" s="316"/>
      <c r="B557" s="812"/>
      <c r="C557" s="812"/>
      <c r="D557" s="316"/>
      <c r="E557" s="756"/>
      <c r="F557" s="34"/>
      <c r="G557" s="304"/>
      <c r="H557" s="304"/>
      <c r="I557" s="34"/>
      <c r="J557" s="34"/>
      <c r="K557" s="306"/>
      <c r="L557" s="306"/>
      <c r="M557" s="34"/>
      <c r="N557" s="34"/>
      <c r="O557" s="132"/>
      <c r="P557" s="34"/>
      <c r="Q557" s="34"/>
      <c r="R557" s="159"/>
      <c r="S557" s="815"/>
      <c r="T557" s="813"/>
      <c r="U557" s="814"/>
      <c r="V557" s="11"/>
      <c r="W557" s="12"/>
      <c r="X557" s="12"/>
      <c r="Y557" s="13"/>
      <c r="Z557" s="13"/>
      <c r="AA557" s="13"/>
      <c r="AB557" s="14"/>
      <c r="AC557" s="237"/>
      <c r="AD557" s="834"/>
      <c r="AE557" s="823" t="s">
        <v>1822</v>
      </c>
      <c r="AF557" s="823"/>
      <c r="AG557" s="822"/>
      <c r="AH557" s="822"/>
      <c r="AI557" s="822"/>
      <c r="AJ557" s="829"/>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c r="BH557" s="34"/>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row>
    <row r="558" spans="1:92" s="1" customFormat="1" ht="12.75">
      <c r="A558" s="316"/>
      <c r="B558" s="812"/>
      <c r="C558" s="812"/>
      <c r="D558" s="316"/>
      <c r="E558" s="756"/>
      <c r="F558" s="34"/>
      <c r="G558" s="304"/>
      <c r="H558" s="304"/>
      <c r="I558" s="34"/>
      <c r="J558" s="34"/>
      <c r="K558" s="306"/>
      <c r="L558" s="306"/>
      <c r="M558" s="34"/>
      <c r="N558" s="34"/>
      <c r="O558" s="132"/>
      <c r="P558" s="34"/>
      <c r="Q558" s="34"/>
      <c r="R558" s="159"/>
      <c r="S558" s="815"/>
      <c r="T558" s="813"/>
      <c r="U558" s="814"/>
      <c r="V558" s="11"/>
      <c r="W558" s="12"/>
      <c r="X558" s="12"/>
      <c r="Y558" s="13"/>
      <c r="Z558" s="13"/>
      <c r="AA558" s="13"/>
      <c r="AB558" s="14"/>
      <c r="AC558" s="237"/>
      <c r="AD558" s="831"/>
      <c r="AE558" s="832" t="s">
        <v>1823</v>
      </c>
      <c r="AF558" s="832" t="s">
        <v>1824</v>
      </c>
      <c r="AG558" s="833">
        <f>CPSSPIV</f>
        <v>0.65</v>
      </c>
      <c r="AH558" s="833">
        <f>(($Q$206*100/19.6)+$AG$558)*19.6%</f>
        <v>3.369239999999999</v>
      </c>
      <c r="AI558" s="833">
        <f>(($R$206*100/13)+$AG$558)*13%</f>
        <v>2.2346999999999997</v>
      </c>
      <c r="AJ558" s="829">
        <v>5932</v>
      </c>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c r="BH558" s="34"/>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row>
    <row r="559" spans="5:92" s="1" customFormat="1" ht="12.75">
      <c r="E559" s="15"/>
      <c r="G559" s="4"/>
      <c r="H559" s="4"/>
      <c r="K559" s="5"/>
      <c r="L559" s="5"/>
      <c r="M559" s="7"/>
      <c r="N559" s="7"/>
      <c r="O559" s="7"/>
      <c r="P559" s="7"/>
      <c r="Q559" s="7"/>
      <c r="R559" s="7"/>
      <c r="S559" s="815"/>
      <c r="T559" s="9"/>
      <c r="U559" s="10"/>
      <c r="V559" s="11"/>
      <c r="W559" s="12"/>
      <c r="X559" s="12"/>
      <c r="Y559" s="13"/>
      <c r="Z559" s="13"/>
      <c r="AA559" s="13"/>
      <c r="AB559" s="14"/>
      <c r="AC559" s="237"/>
      <c r="AD559" s="834"/>
      <c r="AE559" s="823" t="s">
        <v>1825</v>
      </c>
      <c r="AF559" s="823"/>
      <c r="AG559" s="822"/>
      <c r="AH559" s="822"/>
      <c r="AI559" s="822"/>
      <c r="AJ559" s="829"/>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c r="BH559" s="34"/>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row>
    <row r="560" spans="5:92" s="1" customFormat="1" ht="12.75">
      <c r="E560" s="15"/>
      <c r="G560" s="4"/>
      <c r="H560" s="4"/>
      <c r="K560" s="5"/>
      <c r="L560" s="5"/>
      <c r="M560" s="7"/>
      <c r="N560" s="7"/>
      <c r="O560" s="7"/>
      <c r="P560" s="7"/>
      <c r="Q560" s="7"/>
      <c r="R560" s="7"/>
      <c r="S560" s="815"/>
      <c r="T560" s="9"/>
      <c r="U560" s="10"/>
      <c r="V560" s="11"/>
      <c r="W560" s="12"/>
      <c r="X560" s="12"/>
      <c r="Y560" s="13"/>
      <c r="Z560" s="13"/>
      <c r="AA560" s="13"/>
      <c r="AB560" s="14"/>
      <c r="AC560" s="237"/>
      <c r="AD560" s="7"/>
      <c r="AE560" s="7"/>
      <c r="AF560" s="7"/>
      <c r="AG560" s="7"/>
      <c r="AH560" s="7"/>
      <c r="AI560" s="7"/>
      <c r="AJ560" s="821"/>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c r="BH560" s="34"/>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row>
  </sheetData>
  <mergeCells count="16">
    <mergeCell ref="AL1:AM1"/>
    <mergeCell ref="AO1:AP1"/>
    <mergeCell ref="AR1:AS1"/>
    <mergeCell ref="BA1:BB1"/>
    <mergeCell ref="E3:F3"/>
    <mergeCell ref="M3:R3"/>
    <mergeCell ref="M4:N4"/>
    <mergeCell ref="Q4:R4"/>
    <mergeCell ref="K5:L5"/>
    <mergeCell ref="M5:N5"/>
    <mergeCell ref="K6:L6"/>
    <mergeCell ref="M6:N6"/>
    <mergeCell ref="K8:L8"/>
    <mergeCell ref="C102:C103"/>
    <mergeCell ref="AG456:AH456"/>
    <mergeCell ref="AH521:AI521"/>
  </mergeCells>
  <printOptions horizontalCentered="1" verticalCentered="1"/>
  <pageMargins left="0.7875" right="0.7875" top="0.9840277777777778" bottom="0.9840277777777778" header="0.5118055555555556" footer="0.5118055555555556"/>
  <pageSetup fitToHeight="0" horizontalDpi="300" verticalDpi="300" orientation="landscape" paperSize="9" scale="66"/>
  <rowBreaks count="15" manualBreakCount="15">
    <brk id="39" max="255" man="1"/>
    <brk id="67" max="255" man="1"/>
    <brk id="95" max="255" man="1"/>
    <brk id="121" max="255" man="1"/>
    <brk id="148" max="255" man="1"/>
    <brk id="175" max="255" man="1"/>
    <brk id="202" max="255" man="1"/>
    <brk id="231" max="255" man="1"/>
    <brk id="264" max="255" man="1"/>
    <brk id="290" max="255" man="1"/>
    <brk id="320" max="255" man="1"/>
    <brk id="345" max="255" man="1"/>
    <brk id="371" max="255" man="1"/>
    <brk id="395" max="255" man="1"/>
    <brk id="41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256" width="11.00390625" style="1" customWidth="1"/>
  </cols>
  <sheetData>
    <row r="1" s="1" customFormat="1" ht="12.75"/>
    <row r="2" ht="12.75"/>
  </sheetData>
  <printOptions/>
  <pageMargins left="0.7875" right="0.7875" top="0.7875" bottom="0.7875" header="0.49236111111111114" footer="0.49236111111111114"/>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256" width="11.00390625" style="1" customWidth="1"/>
  </cols>
  <sheetData>
    <row r="1" s="1" customFormat="1" ht="12.75"/>
    <row r="2" ht="12.75"/>
  </sheetData>
  <printOptions/>
  <pageMargins left="0.7875" right="0.7875" top="0.7875" bottom="0.7875" header="0.49236111111111114" footer="0.49236111111111114"/>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SALAUN</cp:lastModifiedBy>
  <cp:lastPrinted>2005-05-18T09:15:34Z</cp:lastPrinted>
  <dcterms:created xsi:type="dcterms:W3CDTF">2001-08-16T13:28:20Z</dcterms:created>
  <dcterms:modified xsi:type="dcterms:W3CDTF">2005-05-17T16:41:22Z</dcterms:modified>
  <cp:category/>
  <cp:version/>
  <cp:contentType/>
  <cp:contentStatus/>
  <cp:revision>19</cp:revision>
</cp:coreProperties>
</file>